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22\Protocollo\Desktop\"/>
    </mc:Choice>
  </mc:AlternateContent>
  <xr:revisionPtr revIDLastSave="0" documentId="8_{D99410DB-FAC3-4DCD-9D5D-672CBDA68DCE}" xr6:coauthVersionLast="47" xr6:coauthVersionMax="47" xr10:uidLastSave="{00000000-0000-0000-0000-000000000000}"/>
  <bookViews>
    <workbookView xWindow="-120" yWindow="-120" windowWidth="29040" windowHeight="15840" tabRatio="821" xr2:uid="{00000000-000D-0000-FFFF-FFFF00000000}"/>
  </bookViews>
  <sheets>
    <sheet name="RiepilogoTariffe" sheetId="14" r:id="rId1"/>
    <sheet name="DATI INPUT" sheetId="1" r:id="rId2"/>
    <sheet name="rip.UD-UND" sheetId="8" r:id="rId3"/>
    <sheet name="sintesi" sheetId="6" r:id="rId4"/>
    <sheet name="UtenzeDomestiche" sheetId="2" r:id="rId5"/>
    <sheet name="UtenzeNonDomestiche" sheetId="3" r:id="rId6"/>
    <sheet name="indivisibili" sheetId="4" state="hidden" r:id="rId7"/>
    <sheet name="KcKd" sheetId="9" r:id="rId8"/>
    <sheet name="UD" sheetId="17" r:id="rId9"/>
    <sheet name="RiduzioniUD" sheetId="11" r:id="rId10"/>
  </sheets>
  <definedNames>
    <definedName name="_xlnm.Print_Titles" localSheetId="5">UtenzeNonDomestiche!$1:$2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2" l="1"/>
  <c r="E25" i="1" l="1"/>
  <c r="J125" i="1" l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K126" i="1"/>
  <c r="K127" i="1"/>
  <c r="K128" i="1"/>
  <c r="K129" i="1"/>
  <c r="K130" i="1"/>
  <c r="K131" i="1"/>
  <c r="K132" i="1"/>
  <c r="K133" i="1"/>
  <c r="K134" i="1"/>
  <c r="K135" i="1"/>
  <c r="K136" i="1"/>
  <c r="L113" i="3"/>
  <c r="K113" i="3"/>
  <c r="L112" i="3"/>
  <c r="K112" i="3"/>
  <c r="L111" i="3"/>
  <c r="K111" i="3"/>
  <c r="L110" i="3"/>
  <c r="K110" i="3"/>
  <c r="L109" i="3"/>
  <c r="K109" i="3"/>
  <c r="L108" i="3"/>
  <c r="K108" i="3"/>
  <c r="L107" i="3"/>
  <c r="K107" i="3"/>
  <c r="L106" i="3"/>
  <c r="K106" i="3"/>
  <c r="L105" i="3"/>
  <c r="K105" i="3"/>
  <c r="L104" i="3"/>
  <c r="K104" i="3"/>
  <c r="L103" i="3"/>
  <c r="K103" i="3"/>
  <c r="L102" i="3"/>
  <c r="K102" i="3"/>
  <c r="L101" i="3"/>
  <c r="K101" i="3"/>
  <c r="L100" i="3"/>
  <c r="K100" i="3"/>
  <c r="L99" i="3"/>
  <c r="K99" i="3"/>
  <c r="L98" i="3"/>
  <c r="K98" i="3"/>
  <c r="L97" i="3"/>
  <c r="K97" i="3"/>
  <c r="L96" i="3"/>
  <c r="K96" i="3"/>
  <c r="L95" i="3"/>
  <c r="K95" i="3"/>
  <c r="L94" i="3"/>
  <c r="K94" i="3"/>
  <c r="L93" i="3"/>
  <c r="K93" i="3"/>
  <c r="H57" i="2" l="1"/>
  <c r="H56" i="2"/>
  <c r="H55" i="2"/>
  <c r="H54" i="2"/>
  <c r="H53" i="2"/>
  <c r="H52" i="2"/>
  <c r="E57" i="2"/>
  <c r="E56" i="2"/>
  <c r="E55" i="2"/>
  <c r="E54" i="2"/>
  <c r="E53" i="2"/>
  <c r="E52" i="2"/>
  <c r="H51" i="2"/>
  <c r="E51" i="2"/>
  <c r="J33" i="14" l="1"/>
  <c r="J39" i="14" l="1"/>
  <c r="J38" i="14"/>
  <c r="J37" i="14"/>
  <c r="J36" i="14"/>
  <c r="J35" i="14"/>
  <c r="J34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C22" i="1" l="1"/>
  <c r="J36" i="2"/>
  <c r="G20" i="1" l="1"/>
  <c r="G16" i="1" s="1"/>
  <c r="G18" i="1" s="1"/>
  <c r="C20" i="1"/>
  <c r="I20" i="2"/>
  <c r="I36" i="2"/>
  <c r="H36" i="2"/>
  <c r="F37" i="1"/>
  <c r="E39" i="1"/>
  <c r="C39" i="1"/>
  <c r="F48" i="2" l="1"/>
  <c r="F57" i="2" s="1"/>
  <c r="G57" i="2" s="1"/>
  <c r="I57" i="2" s="1"/>
  <c r="J57" i="2" s="1"/>
  <c r="M57" i="2" s="1"/>
  <c r="K20" i="2"/>
  <c r="K36" i="2"/>
  <c r="L49" i="17"/>
  <c r="L41" i="17"/>
  <c r="L33" i="17"/>
  <c r="L25" i="17"/>
  <c r="L69" i="17"/>
  <c r="I41" i="17"/>
  <c r="L17" i="17"/>
  <c r="M121" i="3"/>
  <c r="B42" i="8"/>
  <c r="C42" i="1"/>
  <c r="J14" i="2"/>
  <c r="J15" i="2"/>
  <c r="J16" i="2"/>
  <c r="J17" i="2"/>
  <c r="J18" i="2"/>
  <c r="J19" i="2"/>
  <c r="D142" i="1"/>
  <c r="C2" i="11" s="1"/>
  <c r="D143" i="1"/>
  <c r="C3" i="11" s="1"/>
  <c r="H14" i="17" s="1"/>
  <c r="J14" i="17" s="1"/>
  <c r="H19" i="17"/>
  <c r="J19" i="17" s="1"/>
  <c r="H20" i="17"/>
  <c r="J20" i="17" s="1"/>
  <c r="H23" i="17"/>
  <c r="J23" i="17" s="1"/>
  <c r="H27" i="17"/>
  <c r="J27" i="17" s="1"/>
  <c r="H28" i="17"/>
  <c r="J28" i="17" s="1"/>
  <c r="H31" i="17"/>
  <c r="J31" i="17" s="1"/>
  <c r="H35" i="17"/>
  <c r="J35" i="17" s="1"/>
  <c r="H36" i="17"/>
  <c r="J36" i="17" s="1"/>
  <c r="H39" i="17"/>
  <c r="J39" i="17" s="1"/>
  <c r="H43" i="17"/>
  <c r="J43" i="17" s="1"/>
  <c r="H44" i="17"/>
  <c r="J44" i="17" s="1"/>
  <c r="H47" i="17"/>
  <c r="J47" i="17" s="1"/>
  <c r="H51" i="17"/>
  <c r="J51" i="17" s="1"/>
  <c r="H52" i="17"/>
  <c r="J52" i="17" s="1"/>
  <c r="H53" i="17"/>
  <c r="J53" i="17" s="1"/>
  <c r="H54" i="17"/>
  <c r="J54" i="17" s="1"/>
  <c r="H55" i="17"/>
  <c r="J55" i="17" s="1"/>
  <c r="H56" i="17"/>
  <c r="J56" i="17" s="1"/>
  <c r="H57" i="17"/>
  <c r="J57" i="17" s="1"/>
  <c r="H58" i="17"/>
  <c r="J58" i="17" s="1"/>
  <c r="H67" i="17"/>
  <c r="J67" i="17" s="1"/>
  <c r="I48" i="1"/>
  <c r="I18" i="3" s="1"/>
  <c r="D152" i="1"/>
  <c r="J14" i="3"/>
  <c r="J15" i="3"/>
  <c r="J16" i="3"/>
  <c r="J17" i="3"/>
  <c r="J18" i="3"/>
  <c r="J19" i="3"/>
  <c r="J20" i="3"/>
  <c r="J21" i="3"/>
  <c r="J22" i="3"/>
  <c r="J23" i="3"/>
  <c r="J24" i="3"/>
  <c r="J26" i="3"/>
  <c r="J27" i="3"/>
  <c r="J28" i="3"/>
  <c r="J29" i="3"/>
  <c r="J30" i="3"/>
  <c r="J31" i="3"/>
  <c r="D151" i="1"/>
  <c r="J32" i="3"/>
  <c r="D150" i="1"/>
  <c r="D149" i="1"/>
  <c r="J33" i="3"/>
  <c r="J34" i="3"/>
  <c r="F126" i="1"/>
  <c r="J35" i="3" s="1"/>
  <c r="F127" i="1"/>
  <c r="J36" i="3" s="1"/>
  <c r="F128" i="1"/>
  <c r="J37" i="3" s="1"/>
  <c r="F129" i="1"/>
  <c r="J38" i="3" s="1"/>
  <c r="F130" i="1"/>
  <c r="J39" i="3" s="1"/>
  <c r="F131" i="1"/>
  <c r="J40" i="3" s="1"/>
  <c r="F132" i="1"/>
  <c r="J41" i="3" s="1"/>
  <c r="F135" i="1"/>
  <c r="J44" i="3" s="1"/>
  <c r="F136" i="1"/>
  <c r="J45" i="3" s="1"/>
  <c r="I56" i="3"/>
  <c r="I59" i="3"/>
  <c r="I61" i="3"/>
  <c r="I62" i="3"/>
  <c r="I78" i="3"/>
  <c r="I86" i="3"/>
  <c r="J65" i="3"/>
  <c r="J67" i="3"/>
  <c r="J68" i="3"/>
  <c r="J69" i="3"/>
  <c r="J70" i="3"/>
  <c r="J71" i="3"/>
  <c r="J72" i="3"/>
  <c r="J73" i="3"/>
  <c r="J74" i="3"/>
  <c r="J75" i="3"/>
  <c r="J126" i="1"/>
  <c r="J76" i="3" s="1"/>
  <c r="J127" i="1"/>
  <c r="J77" i="3" s="1"/>
  <c r="J128" i="1"/>
  <c r="J78" i="3" s="1"/>
  <c r="J129" i="1"/>
  <c r="J79" i="3" s="1"/>
  <c r="J130" i="1"/>
  <c r="J80" i="3" s="1"/>
  <c r="J131" i="1"/>
  <c r="J81" i="3" s="1"/>
  <c r="J132" i="1"/>
  <c r="J82" i="3" s="1"/>
  <c r="J133" i="1"/>
  <c r="J83" i="3" s="1"/>
  <c r="J135" i="1"/>
  <c r="J85" i="3" s="1"/>
  <c r="J136" i="1"/>
  <c r="J86" i="3" s="1"/>
  <c r="J57" i="3"/>
  <c r="J58" i="3"/>
  <c r="J59" i="3"/>
  <c r="J60" i="3"/>
  <c r="J61" i="3"/>
  <c r="J62" i="3"/>
  <c r="J63" i="3"/>
  <c r="J64" i="3"/>
  <c r="J56" i="3"/>
  <c r="J55" i="3"/>
  <c r="I106" i="1"/>
  <c r="I107" i="1"/>
  <c r="I108" i="1"/>
  <c r="I109" i="1"/>
  <c r="I110" i="1"/>
  <c r="I111" i="1"/>
  <c r="I112" i="1"/>
  <c r="I113" i="1"/>
  <c r="I114" i="1"/>
  <c r="I115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5" i="1"/>
  <c r="I136" i="1"/>
  <c r="I105" i="1"/>
  <c r="D105" i="1"/>
  <c r="D106" i="1"/>
  <c r="D107" i="1"/>
  <c r="D108" i="1"/>
  <c r="D109" i="1"/>
  <c r="D110" i="1"/>
  <c r="D111" i="1"/>
  <c r="D112" i="1"/>
  <c r="D113" i="1"/>
  <c r="D114" i="1"/>
  <c r="D115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5" i="1"/>
  <c r="D136" i="1"/>
  <c r="I4" i="9"/>
  <c r="J4" i="9"/>
  <c r="I5" i="9"/>
  <c r="J5" i="9"/>
  <c r="I6" i="9"/>
  <c r="J6" i="9"/>
  <c r="I7" i="9"/>
  <c r="J7" i="9"/>
  <c r="I8" i="9"/>
  <c r="J8" i="9"/>
  <c r="I9" i="9"/>
  <c r="J9" i="9"/>
  <c r="I10" i="9"/>
  <c r="J10" i="9"/>
  <c r="I11" i="9"/>
  <c r="J11" i="9"/>
  <c r="I12" i="9"/>
  <c r="J12" i="9"/>
  <c r="I13" i="9"/>
  <c r="J13" i="9"/>
  <c r="I14" i="9"/>
  <c r="J66" i="3" s="1"/>
  <c r="J14" i="9"/>
  <c r="I15" i="9"/>
  <c r="J15" i="9"/>
  <c r="I16" i="9"/>
  <c r="J16" i="9"/>
  <c r="I17" i="9"/>
  <c r="J17" i="9"/>
  <c r="I18" i="9"/>
  <c r="J18" i="9"/>
  <c r="I19" i="9"/>
  <c r="J19" i="9"/>
  <c r="I20" i="9"/>
  <c r="J20" i="9"/>
  <c r="I21" i="9"/>
  <c r="J21" i="9"/>
  <c r="I22" i="9"/>
  <c r="J22" i="9"/>
  <c r="I23" i="9"/>
  <c r="J23" i="9"/>
  <c r="J134" i="1"/>
  <c r="J84" i="3" s="1"/>
  <c r="I3" i="9"/>
  <c r="G3" i="9"/>
  <c r="H3" i="9"/>
  <c r="J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F133" i="1"/>
  <c r="J42" i="3" s="1"/>
  <c r="M124" i="3"/>
  <c r="M123" i="3"/>
  <c r="M122" i="3"/>
  <c r="M120" i="3"/>
  <c r="M119" i="3"/>
  <c r="M118" i="3"/>
  <c r="M117" i="3"/>
  <c r="M116" i="3"/>
  <c r="M115" i="3"/>
  <c r="J4" i="17"/>
  <c r="J3" i="17"/>
  <c r="K68" i="17"/>
  <c r="M68" i="17" s="1"/>
  <c r="K48" i="17"/>
  <c r="M48" i="17" s="1"/>
  <c r="J68" i="17"/>
  <c r="I19" i="2"/>
  <c r="J48" i="17"/>
  <c r="J40" i="17"/>
  <c r="I17" i="2"/>
  <c r="J32" i="17"/>
  <c r="I16" i="2"/>
  <c r="J24" i="17"/>
  <c r="I15" i="2"/>
  <c r="J16" i="17"/>
  <c r="I14" i="2"/>
  <c r="K14" i="2" s="1"/>
  <c r="K67" i="17"/>
  <c r="M67" i="17" s="1"/>
  <c r="K47" i="17"/>
  <c r="M47" i="17" s="1"/>
  <c r="K40" i="17"/>
  <c r="M40" i="17" s="1"/>
  <c r="K39" i="17"/>
  <c r="M39" i="17" s="1"/>
  <c r="K32" i="17"/>
  <c r="M32" i="17" s="1"/>
  <c r="K31" i="17"/>
  <c r="M31" i="17" s="1"/>
  <c r="K24" i="17"/>
  <c r="M24" i="17" s="1"/>
  <c r="K23" i="17"/>
  <c r="M23" i="17" s="1"/>
  <c r="K66" i="17"/>
  <c r="M66" i="17" s="1"/>
  <c r="K65" i="17"/>
  <c r="M65" i="17" s="1"/>
  <c r="K64" i="17"/>
  <c r="M64" i="17" s="1"/>
  <c r="K63" i="17"/>
  <c r="M63" i="17" s="1"/>
  <c r="K62" i="17"/>
  <c r="M62" i="17" s="1"/>
  <c r="K61" i="17"/>
  <c r="M61" i="17" s="1"/>
  <c r="K60" i="17"/>
  <c r="M60" i="17" s="1"/>
  <c r="K59" i="17"/>
  <c r="M59" i="17" s="1"/>
  <c r="K58" i="17"/>
  <c r="M58" i="17" s="1"/>
  <c r="K57" i="17"/>
  <c r="M57" i="17" s="1"/>
  <c r="K56" i="17"/>
  <c r="M56" i="17" s="1"/>
  <c r="K55" i="17"/>
  <c r="M55" i="17" s="1"/>
  <c r="K54" i="17"/>
  <c r="M54" i="17" s="1"/>
  <c r="K53" i="17"/>
  <c r="M53" i="17" s="1"/>
  <c r="K52" i="17"/>
  <c r="M52" i="17" s="1"/>
  <c r="K51" i="17"/>
  <c r="M51" i="17" s="1"/>
  <c r="I69" i="17"/>
  <c r="J66" i="17"/>
  <c r="J65" i="17"/>
  <c r="J64" i="17"/>
  <c r="J63" i="17"/>
  <c r="J62" i="17"/>
  <c r="J61" i="17"/>
  <c r="J60" i="17"/>
  <c r="J59" i="17"/>
  <c r="I49" i="17"/>
  <c r="K46" i="17"/>
  <c r="M46" i="17" s="1"/>
  <c r="J46" i="17"/>
  <c r="K45" i="17"/>
  <c r="M45" i="17" s="1"/>
  <c r="J45" i="17"/>
  <c r="K44" i="17"/>
  <c r="M44" i="17" s="1"/>
  <c r="K43" i="17"/>
  <c r="M43" i="17" s="1"/>
  <c r="K38" i="17"/>
  <c r="M38" i="17" s="1"/>
  <c r="J38" i="17"/>
  <c r="K37" i="17"/>
  <c r="M37" i="17" s="1"/>
  <c r="J37" i="17"/>
  <c r="K36" i="17"/>
  <c r="M36" i="17" s="1"/>
  <c r="K35" i="17"/>
  <c r="M35" i="17" s="1"/>
  <c r="I33" i="17"/>
  <c r="K30" i="17"/>
  <c r="M30" i="17" s="1"/>
  <c r="J30" i="17"/>
  <c r="K29" i="17"/>
  <c r="M29" i="17" s="1"/>
  <c r="J29" i="17"/>
  <c r="K28" i="17"/>
  <c r="M28" i="17" s="1"/>
  <c r="K27" i="17"/>
  <c r="M27" i="17" s="1"/>
  <c r="K22" i="17"/>
  <c r="M22" i="17" s="1"/>
  <c r="K21" i="17"/>
  <c r="M21" i="17" s="1"/>
  <c r="K20" i="17"/>
  <c r="M20" i="17" s="1"/>
  <c r="K19" i="17"/>
  <c r="M19" i="17" s="1"/>
  <c r="I25" i="17"/>
  <c r="J22" i="17"/>
  <c r="J21" i="17"/>
  <c r="I17" i="17"/>
  <c r="J13" i="17"/>
  <c r="J12" i="17"/>
  <c r="A143" i="1"/>
  <c r="A3" i="11" s="1"/>
  <c r="A142" i="1"/>
  <c r="A2" i="11" s="1"/>
  <c r="G95" i="1"/>
  <c r="E95" i="1" s="1"/>
  <c r="J30" i="2" s="1"/>
  <c r="A47" i="14"/>
  <c r="A41" i="14"/>
  <c r="B43" i="8"/>
  <c r="B41" i="8"/>
  <c r="B40" i="8"/>
  <c r="B39" i="8"/>
  <c r="B36" i="8"/>
  <c r="B34" i="8"/>
  <c r="B32" i="8"/>
  <c r="B28" i="8"/>
  <c r="B26" i="8"/>
  <c r="B25" i="8"/>
  <c r="A152" i="1"/>
  <c r="A151" i="1"/>
  <c r="A150" i="1"/>
  <c r="A149" i="1"/>
  <c r="A50" i="14"/>
  <c r="A46" i="14"/>
  <c r="A48" i="14"/>
  <c r="A49" i="14"/>
  <c r="A40" i="14"/>
  <c r="A42" i="14"/>
  <c r="A43" i="14"/>
  <c r="A44" i="14"/>
  <c r="A45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19" i="14"/>
  <c r="B27" i="8"/>
  <c r="B38" i="8"/>
  <c r="H30" i="2"/>
  <c r="A14" i="8"/>
  <c r="A15" i="8"/>
  <c r="A16" i="8"/>
  <c r="A17" i="8"/>
  <c r="A18" i="8"/>
  <c r="A1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23" i="8"/>
  <c r="G13" i="4"/>
  <c r="B30" i="8"/>
  <c r="K15" i="2" l="1"/>
  <c r="I21" i="3"/>
  <c r="K21" i="3" s="1"/>
  <c r="B52" i="8"/>
  <c r="B45" i="8"/>
  <c r="K19" i="2"/>
  <c r="B47" i="8"/>
  <c r="B49" i="8"/>
  <c r="B50" i="8"/>
  <c r="K17" i="2"/>
  <c r="B44" i="8"/>
  <c r="K86" i="3"/>
  <c r="I20" i="3"/>
  <c r="K20" i="3" s="1"/>
  <c r="I45" i="3"/>
  <c r="K45" i="3" s="1"/>
  <c r="I15" i="3"/>
  <c r="K15" i="3" s="1"/>
  <c r="I37" i="3"/>
  <c r="K37" i="3" s="1"/>
  <c r="M41" i="17"/>
  <c r="J41" i="17"/>
  <c r="J25" i="17"/>
  <c r="J69" i="17"/>
  <c r="M49" i="17"/>
  <c r="M69" i="17"/>
  <c r="M25" i="17"/>
  <c r="J49" i="17"/>
  <c r="J33" i="17"/>
  <c r="K16" i="2"/>
  <c r="B46" i="8"/>
  <c r="B48" i="8"/>
  <c r="H11" i="17"/>
  <c r="J11" i="17" s="1"/>
  <c r="H15" i="17"/>
  <c r="J15" i="17" s="1"/>
  <c r="K16" i="17"/>
  <c r="M16" i="17" s="1"/>
  <c r="K10" i="17"/>
  <c r="M10" i="17" s="1"/>
  <c r="K11" i="17"/>
  <c r="M11" i="17" s="1"/>
  <c r="H10" i="17"/>
  <c r="J10" i="17" s="1"/>
  <c r="K15" i="17"/>
  <c r="M15" i="17" s="1"/>
  <c r="K12" i="17"/>
  <c r="M12" i="17" s="1"/>
  <c r="K13" i="17"/>
  <c r="M13" i="17" s="1"/>
  <c r="M33" i="17"/>
  <c r="K14" i="17"/>
  <c r="M14" i="17" s="1"/>
  <c r="B24" i="8"/>
  <c r="B29" i="8"/>
  <c r="B31" i="8"/>
  <c r="B33" i="8"/>
  <c r="B35" i="8"/>
  <c r="B37" i="8"/>
  <c r="F134" i="1"/>
  <c r="J43" i="3" s="1"/>
  <c r="J25" i="3"/>
  <c r="K18" i="3"/>
  <c r="I43" i="3"/>
  <c r="I40" i="3"/>
  <c r="K40" i="3" s="1"/>
  <c r="I80" i="3"/>
  <c r="K80" i="3" s="1"/>
  <c r="I71" i="3"/>
  <c r="K71" i="3" s="1"/>
  <c r="I35" i="3"/>
  <c r="K35" i="3" s="1"/>
  <c r="I41" i="3"/>
  <c r="K41" i="3" s="1"/>
  <c r="I17" i="3"/>
  <c r="K17" i="3" s="1"/>
  <c r="H32" i="2"/>
  <c r="G97" i="1"/>
  <c r="E97" i="1" s="1"/>
  <c r="J32" i="2" s="1"/>
  <c r="B23" i="8"/>
  <c r="I44" i="3"/>
  <c r="K44" i="3" s="1"/>
  <c r="I85" i="3"/>
  <c r="K85" i="3" s="1"/>
  <c r="I29" i="3"/>
  <c r="K29" i="3" s="1"/>
  <c r="I70" i="3"/>
  <c r="K70" i="3" s="1"/>
  <c r="I39" i="3"/>
  <c r="K39" i="3" s="1"/>
  <c r="I76" i="3"/>
  <c r="K76" i="3" s="1"/>
  <c r="I30" i="3"/>
  <c r="K30" i="3" s="1"/>
  <c r="I27" i="3"/>
  <c r="K27" i="3" s="1"/>
  <c r="I68" i="3"/>
  <c r="K68" i="3" s="1"/>
  <c r="I25" i="3"/>
  <c r="I66" i="3"/>
  <c r="K66" i="3" s="1"/>
  <c r="K23" i="3"/>
  <c r="K64" i="3"/>
  <c r="I19" i="3"/>
  <c r="K19" i="3" s="1"/>
  <c r="I60" i="3"/>
  <c r="K60" i="3" s="1"/>
  <c r="I16" i="3"/>
  <c r="K16" i="3" s="1"/>
  <c r="I57" i="3"/>
  <c r="K57" i="3" s="1"/>
  <c r="B51" i="8"/>
  <c r="D133" i="1"/>
  <c r="I134" i="1"/>
  <c r="I116" i="1"/>
  <c r="K62" i="3"/>
  <c r="K59" i="3"/>
  <c r="I42" i="3"/>
  <c r="K42" i="3" s="1"/>
  <c r="I83" i="3"/>
  <c r="K83" i="3" s="1"/>
  <c r="I81" i="3"/>
  <c r="K81" i="3" s="1"/>
  <c r="I38" i="3"/>
  <c r="K38" i="3" s="1"/>
  <c r="I79" i="3"/>
  <c r="K79" i="3" s="1"/>
  <c r="I36" i="3"/>
  <c r="K36" i="3" s="1"/>
  <c r="I77" i="3"/>
  <c r="K77" i="3" s="1"/>
  <c r="I31" i="3"/>
  <c r="K31" i="3" s="1"/>
  <c r="I72" i="3"/>
  <c r="K72" i="3" s="1"/>
  <c r="I28" i="3"/>
  <c r="K28" i="3" s="1"/>
  <c r="I69" i="3"/>
  <c r="K69" i="3" s="1"/>
  <c r="I26" i="3"/>
  <c r="K26" i="3" s="1"/>
  <c r="I67" i="3"/>
  <c r="K67" i="3" s="1"/>
  <c r="I24" i="3"/>
  <c r="K24" i="3" s="1"/>
  <c r="I65" i="3"/>
  <c r="K65" i="3" s="1"/>
  <c r="I22" i="3"/>
  <c r="K22" i="3" s="1"/>
  <c r="I63" i="3"/>
  <c r="K63" i="3" s="1"/>
  <c r="G96" i="1"/>
  <c r="E96" i="1" s="1"/>
  <c r="J31" i="2" s="1"/>
  <c r="H31" i="2"/>
  <c r="D134" i="1"/>
  <c r="D116" i="1"/>
  <c r="I133" i="1"/>
  <c r="K78" i="3"/>
  <c r="K61" i="3"/>
  <c r="K56" i="3"/>
  <c r="K43" i="3" l="1"/>
  <c r="J17" i="17"/>
  <c r="M17" i="17"/>
  <c r="I50" i="3"/>
  <c r="I58" i="3"/>
  <c r="K58" i="3" s="1"/>
  <c r="I84" i="3"/>
  <c r="K84" i="3" s="1"/>
  <c r="K25" i="3"/>
  <c r="I35" i="2"/>
  <c r="F35" i="1"/>
  <c r="F47" i="2" s="1"/>
  <c r="F56" i="2" s="1"/>
  <c r="G56" i="2" s="1"/>
  <c r="I75" i="3"/>
  <c r="K75" i="3" s="1"/>
  <c r="I82" i="3"/>
  <c r="K82" i="3" s="1"/>
  <c r="I74" i="3"/>
  <c r="K74" i="3" s="1"/>
  <c r="I73" i="3"/>
  <c r="K73" i="3" s="1"/>
  <c r="I5" i="3"/>
  <c r="C4" i="6"/>
  <c r="I32" i="3"/>
  <c r="K32" i="3" s="1"/>
  <c r="I18" i="2"/>
  <c r="B4" i="8"/>
  <c r="F34" i="1"/>
  <c r="F46" i="2" s="1"/>
  <c r="F55" i="2" s="1"/>
  <c r="G55" i="2" s="1"/>
  <c r="I30" i="2"/>
  <c r="B13" i="8"/>
  <c r="F30" i="1"/>
  <c r="F42" i="2" s="1"/>
  <c r="F51" i="2" s="1"/>
  <c r="G51" i="2" s="1"/>
  <c r="I33" i="2"/>
  <c r="F33" i="1"/>
  <c r="F45" i="2" s="1"/>
  <c r="F54" i="2" s="1"/>
  <c r="G54" i="2" s="1"/>
  <c r="I25" i="2"/>
  <c r="G98" i="1"/>
  <c r="E98" i="1" s="1"/>
  <c r="J33" i="2" s="1"/>
  <c r="H33" i="2"/>
  <c r="B53" i="8"/>
  <c r="I34" i="2"/>
  <c r="I32" i="2"/>
  <c r="K32" i="2" s="1"/>
  <c r="B15" i="8"/>
  <c r="F32" i="1"/>
  <c r="F44" i="2" s="1"/>
  <c r="F53" i="2" s="1"/>
  <c r="G53" i="2" s="1"/>
  <c r="I34" i="3"/>
  <c r="K34" i="3" s="1"/>
  <c r="I31" i="2"/>
  <c r="K31" i="2" s="1"/>
  <c r="F31" i="1"/>
  <c r="F43" i="2" s="1"/>
  <c r="F52" i="2" s="1"/>
  <c r="G52" i="2" s="1"/>
  <c r="B14" i="8"/>
  <c r="E80" i="1"/>
  <c r="B5" i="8" s="1"/>
  <c r="I37" i="2" l="1"/>
  <c r="I56" i="2"/>
  <c r="C8" i="6"/>
  <c r="C10" i="6" s="1"/>
  <c r="I14" i="3"/>
  <c r="K14" i="3" s="1"/>
  <c r="I55" i="3"/>
  <c r="K55" i="3" s="1"/>
  <c r="K87" i="3" s="1"/>
  <c r="I33" i="3"/>
  <c r="K33" i="3" s="1"/>
  <c r="G80" i="1"/>
  <c r="H34" i="2"/>
  <c r="G99" i="1"/>
  <c r="E99" i="1" s="1"/>
  <c r="J34" i="2" s="1"/>
  <c r="I51" i="2"/>
  <c r="K30" i="2"/>
  <c r="B6" i="8"/>
  <c r="C4" i="8" s="1"/>
  <c r="B16" i="8"/>
  <c r="K33" i="2"/>
  <c r="I52" i="2"/>
  <c r="I53" i="2"/>
  <c r="I5" i="2"/>
  <c r="C3" i="6"/>
  <c r="I54" i="2"/>
  <c r="I55" i="2"/>
  <c r="K18" i="2"/>
  <c r="K21" i="2" s="1"/>
  <c r="I21" i="2"/>
  <c r="J56" i="2" l="1"/>
  <c r="M56" i="2" s="1"/>
  <c r="K46" i="3"/>
  <c r="C5" i="8"/>
  <c r="C6" i="8" s="1"/>
  <c r="I46" i="3"/>
  <c r="G3" i="4" s="1"/>
  <c r="G5" i="4" s="1"/>
  <c r="I87" i="3"/>
  <c r="J52" i="2"/>
  <c r="M52" i="2" s="1"/>
  <c r="J51" i="2"/>
  <c r="M51" i="2" s="1"/>
  <c r="K34" i="2"/>
  <c r="B17" i="8"/>
  <c r="J55" i="2"/>
  <c r="M55" i="2" s="1"/>
  <c r="J54" i="2"/>
  <c r="M54" i="2" s="1"/>
  <c r="J53" i="2"/>
  <c r="M53" i="2" s="1"/>
  <c r="G100" i="1"/>
  <c r="E100" i="1" s="1"/>
  <c r="J35" i="2" s="1"/>
  <c r="H35" i="2"/>
  <c r="K35" i="2" l="1"/>
  <c r="K37" i="2" s="1"/>
  <c r="B18" i="8"/>
  <c r="B19" i="8" s="1"/>
  <c r="B55" i="8" l="1"/>
  <c r="C53" i="8" s="1"/>
  <c r="C19" i="8" l="1"/>
  <c r="C55" i="8" s="1"/>
  <c r="I9" i="2"/>
  <c r="I9" i="3" l="1"/>
  <c r="C7" i="6"/>
  <c r="C9" i="6" s="1"/>
  <c r="C16" i="1"/>
  <c r="C18" i="1" s="1"/>
  <c r="C25" i="1" s="1"/>
  <c r="I3" i="2" l="1"/>
  <c r="K5" i="2" s="1"/>
  <c r="I3" i="3"/>
  <c r="B1" i="6"/>
  <c r="K5" i="3" l="1"/>
  <c r="K11" i="3" s="1"/>
  <c r="K27" i="2"/>
  <c r="B3" i="6"/>
  <c r="K11" i="2"/>
  <c r="K52" i="3" l="1"/>
  <c r="L14" i="3"/>
  <c r="M14" i="3" s="1"/>
  <c r="G93" i="3" s="1"/>
  <c r="B19" i="14" s="1"/>
  <c r="L40" i="3"/>
  <c r="M40" i="3" s="1"/>
  <c r="G119" i="3" s="1"/>
  <c r="B45" i="14" s="1"/>
  <c r="L31" i="3"/>
  <c r="M31" i="3" s="1"/>
  <c r="G110" i="3" s="1"/>
  <c r="B36" i="14" s="1"/>
  <c r="L34" i="3"/>
  <c r="M34" i="3" s="1"/>
  <c r="G113" i="3" s="1"/>
  <c r="B39" i="14" s="1"/>
  <c r="B9" i="6"/>
  <c r="L20" i="3"/>
  <c r="M20" i="3" s="1"/>
  <c r="G99" i="3" s="1"/>
  <c r="B25" i="14" s="1"/>
  <c r="L16" i="3"/>
  <c r="M16" i="3" s="1"/>
  <c r="G95" i="3" s="1"/>
  <c r="B21" i="14" s="1"/>
  <c r="L42" i="3"/>
  <c r="M42" i="3" s="1"/>
  <c r="G121" i="3" s="1"/>
  <c r="B47" i="14" s="1"/>
  <c r="L30" i="3"/>
  <c r="M30" i="3" s="1"/>
  <c r="G109" i="3" s="1"/>
  <c r="B35" i="14" s="1"/>
  <c r="L33" i="3"/>
  <c r="M33" i="3" s="1"/>
  <c r="G112" i="3" s="1"/>
  <c r="B38" i="14" s="1"/>
  <c r="L32" i="3"/>
  <c r="M32" i="3" s="1"/>
  <c r="G111" i="3" s="1"/>
  <c r="B37" i="14" s="1"/>
  <c r="L38" i="3"/>
  <c r="M38" i="3" s="1"/>
  <c r="G117" i="3" s="1"/>
  <c r="B43" i="14" s="1"/>
  <c r="L43" i="3"/>
  <c r="M43" i="3" s="1"/>
  <c r="G122" i="3" s="1"/>
  <c r="B48" i="14" s="1"/>
  <c r="L35" i="3"/>
  <c r="M35" i="3" s="1"/>
  <c r="G114" i="3" s="1"/>
  <c r="B40" i="14" s="1"/>
  <c r="L26" i="3"/>
  <c r="M26" i="3" s="1"/>
  <c r="G105" i="3" s="1"/>
  <c r="B31" i="14" s="1"/>
  <c r="L36" i="3"/>
  <c r="M36" i="3" s="1"/>
  <c r="G115" i="3" s="1"/>
  <c r="B41" i="14" s="1"/>
  <c r="L29" i="3"/>
  <c r="M29" i="3" s="1"/>
  <c r="G108" i="3" s="1"/>
  <c r="B34" i="14" s="1"/>
  <c r="L25" i="3"/>
  <c r="M25" i="3" s="1"/>
  <c r="G104" i="3" s="1"/>
  <c r="B30" i="14" s="1"/>
  <c r="L41" i="3"/>
  <c r="M41" i="3" s="1"/>
  <c r="G120" i="3" s="1"/>
  <c r="B46" i="14" s="1"/>
  <c r="L15" i="3"/>
  <c r="M15" i="3" s="1"/>
  <c r="G94" i="3" s="1"/>
  <c r="B20" i="14" s="1"/>
  <c r="L28" i="3"/>
  <c r="M28" i="3" s="1"/>
  <c r="G107" i="3" s="1"/>
  <c r="B33" i="14" s="1"/>
  <c r="L19" i="3"/>
  <c r="M19" i="3" s="1"/>
  <c r="G98" i="3" s="1"/>
  <c r="B24" i="14" s="1"/>
  <c r="L22" i="3"/>
  <c r="M22" i="3" s="1"/>
  <c r="G101" i="3" s="1"/>
  <c r="B27" i="14" s="1"/>
  <c r="L45" i="3"/>
  <c r="M45" i="3" s="1"/>
  <c r="G124" i="3" s="1"/>
  <c r="B50" i="14" s="1"/>
  <c r="L24" i="3"/>
  <c r="M24" i="3" s="1"/>
  <c r="G103" i="3" s="1"/>
  <c r="B29" i="14" s="1"/>
  <c r="L44" i="3"/>
  <c r="M44" i="3" s="1"/>
  <c r="G123" i="3" s="1"/>
  <c r="B49" i="14" s="1"/>
  <c r="L17" i="3"/>
  <c r="M17" i="3" s="1"/>
  <c r="G96" i="3" s="1"/>
  <c r="B22" i="14" s="1"/>
  <c r="L37" i="3"/>
  <c r="M37" i="3" s="1"/>
  <c r="G116" i="3" s="1"/>
  <c r="B42" i="14" s="1"/>
  <c r="L39" i="3"/>
  <c r="M39" i="3" s="1"/>
  <c r="G118" i="3" s="1"/>
  <c r="B44" i="14" s="1"/>
  <c r="L27" i="3"/>
  <c r="M27" i="3" s="1"/>
  <c r="G106" i="3" s="1"/>
  <c r="B32" i="14" s="1"/>
  <c r="L23" i="3"/>
  <c r="M23" i="3" s="1"/>
  <c r="G102" i="3" s="1"/>
  <c r="B28" i="14" s="1"/>
  <c r="L21" i="3"/>
  <c r="M21" i="3" s="1"/>
  <c r="G100" i="3" s="1"/>
  <c r="B26" i="14" s="1"/>
  <c r="L18" i="3"/>
  <c r="M18" i="3" s="1"/>
  <c r="G97" i="3" s="1"/>
  <c r="B23" i="14" s="1"/>
  <c r="B4" i="6"/>
  <c r="B5" i="6"/>
  <c r="L16" i="2"/>
  <c r="M16" i="2" s="1"/>
  <c r="L18" i="2"/>
  <c r="M18" i="2" s="1"/>
  <c r="L17" i="2"/>
  <c r="M17" i="2" s="1"/>
  <c r="L20" i="2"/>
  <c r="M20" i="2" s="1"/>
  <c r="L14" i="2"/>
  <c r="B7" i="6"/>
  <c r="L15" i="2"/>
  <c r="M15" i="2" s="1"/>
  <c r="L19" i="2"/>
  <c r="M19" i="2" s="1"/>
  <c r="B8" i="6"/>
  <c r="L31" i="2"/>
  <c r="M31" i="2" s="1"/>
  <c r="L36" i="2"/>
  <c r="M36" i="2" s="1"/>
  <c r="L30" i="2"/>
  <c r="L34" i="2"/>
  <c r="M34" i="2" s="1"/>
  <c r="L32" i="2"/>
  <c r="M32" i="2" s="1"/>
  <c r="L35" i="2"/>
  <c r="M35" i="2" s="1"/>
  <c r="L33" i="2"/>
  <c r="M33" i="2" s="1"/>
  <c r="L55" i="3"/>
  <c r="L57" i="3"/>
  <c r="M57" i="3" s="1"/>
  <c r="H95" i="3" s="1"/>
  <c r="L59" i="3"/>
  <c r="M59" i="3" s="1"/>
  <c r="H97" i="3" s="1"/>
  <c r="L56" i="3"/>
  <c r="M56" i="3" s="1"/>
  <c r="H94" i="3" s="1"/>
  <c r="L58" i="3"/>
  <c r="M58" i="3" s="1"/>
  <c r="H96" i="3" s="1"/>
  <c r="L60" i="3"/>
  <c r="M60" i="3" s="1"/>
  <c r="H98" i="3" s="1"/>
  <c r="L61" i="3"/>
  <c r="M61" i="3" s="1"/>
  <c r="H99" i="3" s="1"/>
  <c r="L63" i="3"/>
  <c r="M63" i="3" s="1"/>
  <c r="H101" i="3" s="1"/>
  <c r="L65" i="3"/>
  <c r="M65" i="3" s="1"/>
  <c r="H103" i="3" s="1"/>
  <c r="L67" i="3"/>
  <c r="M67" i="3" s="1"/>
  <c r="H105" i="3" s="1"/>
  <c r="L69" i="3"/>
  <c r="M69" i="3" s="1"/>
  <c r="H107" i="3" s="1"/>
  <c r="L72" i="3"/>
  <c r="M72" i="3" s="1"/>
  <c r="H110" i="3" s="1"/>
  <c r="L74" i="3"/>
  <c r="M74" i="3" s="1"/>
  <c r="H112" i="3" s="1"/>
  <c r="L76" i="3"/>
  <c r="M76" i="3" s="1"/>
  <c r="H114" i="3" s="1"/>
  <c r="L78" i="3"/>
  <c r="M78" i="3" s="1"/>
  <c r="H116" i="3" s="1"/>
  <c r="L80" i="3"/>
  <c r="M80" i="3" s="1"/>
  <c r="H118" i="3" s="1"/>
  <c r="L82" i="3"/>
  <c r="M82" i="3" s="1"/>
  <c r="H120" i="3" s="1"/>
  <c r="L84" i="3"/>
  <c r="M84" i="3" s="1"/>
  <c r="H122" i="3" s="1"/>
  <c r="B10" i="6"/>
  <c r="L62" i="3"/>
  <c r="M62" i="3" s="1"/>
  <c r="H100" i="3" s="1"/>
  <c r="L64" i="3"/>
  <c r="M64" i="3" s="1"/>
  <c r="H102" i="3" s="1"/>
  <c r="L66" i="3"/>
  <c r="M66" i="3" s="1"/>
  <c r="H104" i="3" s="1"/>
  <c r="L68" i="3"/>
  <c r="M68" i="3" s="1"/>
  <c r="H106" i="3" s="1"/>
  <c r="L70" i="3"/>
  <c r="M70" i="3" s="1"/>
  <c r="H108" i="3" s="1"/>
  <c r="L71" i="3"/>
  <c r="M71" i="3" s="1"/>
  <c r="H109" i="3" s="1"/>
  <c r="L73" i="3"/>
  <c r="M73" i="3" s="1"/>
  <c r="H111" i="3" s="1"/>
  <c r="L75" i="3"/>
  <c r="M75" i="3" s="1"/>
  <c r="H113" i="3" s="1"/>
  <c r="L77" i="3"/>
  <c r="M77" i="3" s="1"/>
  <c r="H115" i="3" s="1"/>
  <c r="L79" i="3"/>
  <c r="M79" i="3" s="1"/>
  <c r="H117" i="3" s="1"/>
  <c r="L81" i="3"/>
  <c r="M81" i="3" s="1"/>
  <c r="H119" i="3" s="1"/>
  <c r="L83" i="3"/>
  <c r="M83" i="3" s="1"/>
  <c r="H121" i="3" s="1"/>
  <c r="L85" i="3"/>
  <c r="M85" i="3" s="1"/>
  <c r="H123" i="3" s="1"/>
  <c r="L86" i="3"/>
  <c r="M86" i="3" s="1"/>
  <c r="H124" i="3" s="1"/>
  <c r="L46" i="3" l="1"/>
  <c r="C50" i="14"/>
  <c r="I124" i="3"/>
  <c r="C49" i="14"/>
  <c r="I123" i="3"/>
  <c r="C47" i="14"/>
  <c r="I121" i="3"/>
  <c r="C45" i="14"/>
  <c r="I119" i="3"/>
  <c r="C43" i="14"/>
  <c r="I117" i="3"/>
  <c r="C41" i="14"/>
  <c r="I115" i="3"/>
  <c r="C39" i="14"/>
  <c r="I113" i="3"/>
  <c r="C37" i="14"/>
  <c r="I111" i="3"/>
  <c r="C35" i="14"/>
  <c r="I109" i="3"/>
  <c r="C34" i="14"/>
  <c r="I108" i="3"/>
  <c r="C32" i="14"/>
  <c r="I106" i="3"/>
  <c r="C30" i="14"/>
  <c r="I104" i="3"/>
  <c r="C28" i="14"/>
  <c r="I102" i="3"/>
  <c r="C26" i="14"/>
  <c r="I100" i="3"/>
  <c r="C48" i="14"/>
  <c r="I122" i="3"/>
  <c r="C46" i="14"/>
  <c r="I120" i="3"/>
  <c r="C44" i="14"/>
  <c r="I118" i="3"/>
  <c r="C42" i="14"/>
  <c r="I116" i="3"/>
  <c r="C40" i="14"/>
  <c r="I114" i="3"/>
  <c r="C38" i="14"/>
  <c r="I112" i="3"/>
  <c r="C36" i="14"/>
  <c r="I110" i="3"/>
  <c r="C33" i="14"/>
  <c r="I107" i="3"/>
  <c r="C31" i="14"/>
  <c r="I105" i="3"/>
  <c r="C29" i="14"/>
  <c r="I103" i="3"/>
  <c r="C27" i="14"/>
  <c r="I101" i="3"/>
  <c r="C25" i="14"/>
  <c r="I99" i="3"/>
  <c r="C24" i="14"/>
  <c r="I98" i="3"/>
  <c r="C22" i="14"/>
  <c r="I96" i="3"/>
  <c r="C20" i="14"/>
  <c r="I94" i="3"/>
  <c r="C23" i="14"/>
  <c r="I97" i="3"/>
  <c r="C21" i="14"/>
  <c r="I95" i="3"/>
  <c r="M55" i="3"/>
  <c r="H93" i="3" s="1"/>
  <c r="L87" i="3"/>
  <c r="C9" i="14"/>
  <c r="H45" i="2"/>
  <c r="H47" i="2"/>
  <c r="C11" i="14"/>
  <c r="C8" i="14"/>
  <c r="H44" i="2"/>
  <c r="C10" i="14"/>
  <c r="H46" i="2"/>
  <c r="M30" i="2"/>
  <c r="L37" i="2"/>
  <c r="H48" i="2"/>
  <c r="C12" i="14"/>
  <c r="C7" i="14"/>
  <c r="H43" i="2"/>
  <c r="E47" i="2"/>
  <c r="G47" i="2" s="1"/>
  <c r="B11" i="14"/>
  <c r="E43" i="2"/>
  <c r="G43" i="2" s="1"/>
  <c r="B7" i="14"/>
  <c r="B11" i="6"/>
  <c r="B14" i="6" s="1"/>
  <c r="M14" i="2"/>
  <c r="L21" i="2"/>
  <c r="E48" i="2"/>
  <c r="G48" i="2" s="1"/>
  <c r="B12" i="14"/>
  <c r="E45" i="2"/>
  <c r="G45" i="2" s="1"/>
  <c r="B9" i="14"/>
  <c r="E46" i="2"/>
  <c r="G46" i="2" s="1"/>
  <c r="B10" i="14"/>
  <c r="E44" i="2"/>
  <c r="G44" i="2" s="1"/>
  <c r="B8" i="14"/>
  <c r="I47" i="2" l="1"/>
  <c r="J47" i="2" s="1"/>
  <c r="M47" i="2" s="1"/>
  <c r="O56" i="2" s="1"/>
  <c r="I44" i="2"/>
  <c r="J44" i="2" s="1"/>
  <c r="M44" i="2" s="1"/>
  <c r="I46" i="2"/>
  <c r="J46" i="2" s="1"/>
  <c r="M46" i="2" s="1"/>
  <c r="I48" i="2"/>
  <c r="J48" i="2" s="1"/>
  <c r="M48" i="2" s="1"/>
  <c r="I45" i="2"/>
  <c r="J45" i="2" s="1"/>
  <c r="M45" i="2" s="1"/>
  <c r="I43" i="2"/>
  <c r="J43" i="2" s="1"/>
  <c r="M43" i="2" s="1"/>
  <c r="B6" i="14"/>
  <c r="E42" i="2"/>
  <c r="G42" i="2" s="1"/>
  <c r="H42" i="2"/>
  <c r="C6" i="14"/>
  <c r="C19" i="14"/>
  <c r="I93" i="3"/>
  <c r="D21" i="14"/>
  <c r="O95" i="3"/>
  <c r="D23" i="14"/>
  <c r="O97" i="3"/>
  <c r="D20" i="14"/>
  <c r="O94" i="3"/>
  <c r="O96" i="3"/>
  <c r="D22" i="14"/>
  <c r="D24" i="14"/>
  <c r="O98" i="3"/>
  <c r="D25" i="14"/>
  <c r="O99" i="3"/>
  <c r="D27" i="14"/>
  <c r="O101" i="3"/>
  <c r="O103" i="3"/>
  <c r="D29" i="14"/>
  <c r="O105" i="3"/>
  <c r="D31" i="14"/>
  <c r="D33" i="14"/>
  <c r="O107" i="3"/>
  <c r="O110" i="3"/>
  <c r="D36" i="14"/>
  <c r="O112" i="3"/>
  <c r="D38" i="14"/>
  <c r="D40" i="14"/>
  <c r="O114" i="3"/>
  <c r="D42" i="14"/>
  <c r="O116" i="3"/>
  <c r="D44" i="14"/>
  <c r="O118" i="3"/>
  <c r="D46" i="14"/>
  <c r="O120" i="3"/>
  <c r="D48" i="14"/>
  <c r="O122" i="3"/>
  <c r="O100" i="3"/>
  <c r="D26" i="14"/>
  <c r="D28" i="14"/>
  <c r="O102" i="3"/>
  <c r="D30" i="14"/>
  <c r="O104" i="3"/>
  <c r="O106" i="3"/>
  <c r="D32" i="14"/>
  <c r="O108" i="3"/>
  <c r="D34" i="14"/>
  <c r="D35" i="14"/>
  <c r="O109" i="3"/>
  <c r="D37" i="14"/>
  <c r="O111" i="3"/>
  <c r="D39" i="14"/>
  <c r="O113" i="3"/>
  <c r="O115" i="3"/>
  <c r="D41" i="14"/>
  <c r="O117" i="3"/>
  <c r="D43" i="14"/>
  <c r="D45" i="14"/>
  <c r="O119" i="3"/>
  <c r="D47" i="14"/>
  <c r="O121" i="3"/>
  <c r="D49" i="14"/>
  <c r="O123" i="3"/>
  <c r="D50" i="14"/>
  <c r="O124" i="3"/>
  <c r="O55" i="2" l="1"/>
  <c r="O53" i="2"/>
  <c r="O57" i="2"/>
  <c r="O52" i="2"/>
  <c r="O54" i="2"/>
  <c r="O93" i="3"/>
  <c r="D19" i="14"/>
  <c r="I42" i="2"/>
  <c r="J42" i="2" s="1"/>
  <c r="M42" i="2" s="1"/>
  <c r="O51" i="2" l="1"/>
</calcChain>
</file>

<file path=xl/sharedStrings.xml><?xml version="1.0" encoding="utf-8"?>
<sst xmlns="http://schemas.openxmlformats.org/spreadsheetml/2006/main" count="639" uniqueCount="270">
  <si>
    <t>Attività artigianali tipo botteghe: falegname, idraulico, fabbro, elettricista</t>
  </si>
  <si>
    <t>Supermercato, pane e pasta, macelleria, salumi e formaggi, generi alimentari</t>
  </si>
  <si>
    <t>Sup. Ridotta</t>
  </si>
  <si>
    <t>Musei, biblioteche, scuole, associazioni, luoghi di culto/Case di cura e riposo</t>
  </si>
  <si>
    <t>(ex regolamento Tares)</t>
  </si>
  <si>
    <t>27-bis</t>
  </si>
  <si>
    <t>22-bis</t>
  </si>
  <si>
    <t>* Tariffa giornaliera</t>
  </si>
  <si>
    <t>Componenti</t>
  </si>
  <si>
    <t>Tipo Residenza</t>
  </si>
  <si>
    <t>Senza Cod Fam</t>
  </si>
  <si>
    <t>Cod. Cat.</t>
  </si>
  <si>
    <t>Cod Riduzione</t>
  </si>
  <si>
    <t>Conteggio Utenze</t>
  </si>
  <si>
    <t>Utenza ridotta</t>
  </si>
  <si>
    <t>Sup. Tassata Reale</t>
  </si>
  <si>
    <t>Non Res.</t>
  </si>
  <si>
    <t>D-001</t>
  </si>
  <si>
    <t>CAT. 1 - ABITAZIONE</t>
  </si>
  <si>
    <t>Senza riduzione</t>
  </si>
  <si>
    <t>D-002</t>
  </si>
  <si>
    <t>CAT. 1 - PERTINENZA ABITAZIONE</t>
  </si>
  <si>
    <t>Residenti</t>
  </si>
  <si>
    <t>D-003</t>
  </si>
  <si>
    <t>CAT. 1 - RESIDENTI CASE DI CURA</t>
  </si>
  <si>
    <t>Unico Occupante</t>
  </si>
  <si>
    <t>% Riduzione Utenza</t>
  </si>
  <si>
    <t>% Riduzione Superficie</t>
  </si>
  <si>
    <t>1 OCCUPANTE</t>
  </si>
  <si>
    <t>2 OCCUPANTI</t>
  </si>
  <si>
    <t>3 OCCUPANTI</t>
  </si>
  <si>
    <t>4 OCCUPANTI</t>
  </si>
  <si>
    <t>6 O + OCCUPANTI</t>
  </si>
  <si>
    <t>5 OCCUPANTI</t>
  </si>
  <si>
    <t>TOTALE 1 OCCUPANTE</t>
  </si>
  <si>
    <t>TOTALE 2 OCCUPANTI</t>
  </si>
  <si>
    <t>TOTALE 3 OCCUPANTI</t>
  </si>
  <si>
    <t>TOTALE 4 OCCUPANTI</t>
  </si>
  <si>
    <t>TOTALE 5 OCCUPANTI</t>
  </si>
  <si>
    <t>TOTALE 6 O + OCCUPANTI</t>
  </si>
  <si>
    <t>Vedi fg. "Non residenti"</t>
  </si>
  <si>
    <t>Maggiorazione Statale (0,30€)</t>
  </si>
  <si>
    <t>Tariffa fissa €/mq.</t>
  </si>
  <si>
    <t>Tariffa Variabile</t>
  </si>
  <si>
    <t>totale TARI</t>
  </si>
  <si>
    <t>Tariffa fissa (€/mq)</t>
  </si>
  <si>
    <t>Tariffa Variabile (€/Utenza)</t>
  </si>
  <si>
    <t>produzione teorica totale UND  (kg./mq/anno)</t>
  </si>
  <si>
    <t>Dpr 158</t>
  </si>
  <si>
    <t>+ 50% -</t>
  </si>
  <si>
    <t>Kc/Kd +50%-</t>
  </si>
  <si>
    <t>x</t>
  </si>
  <si>
    <t>coefficiente scelto DPR 158 (nord)</t>
  </si>
  <si>
    <t>kg/mq. anno scelto DPR158 (nord)</t>
  </si>
  <si>
    <t>+</t>
  </si>
  <si>
    <t>TARIFFA =</t>
  </si>
  <si>
    <t>CARC</t>
  </si>
  <si>
    <t>CCD</t>
  </si>
  <si>
    <t>CK</t>
  </si>
  <si>
    <t>somma  di:</t>
  </si>
  <si>
    <t>costi spazzamento e lavaggio strade e piazze pubbliche</t>
  </si>
  <si>
    <t>costi amministrativi accertamento, riscossione e contenzioso</t>
  </si>
  <si>
    <t>costi generali di gestione</t>
  </si>
  <si>
    <t>altri costi</t>
  </si>
  <si>
    <t>costi d'uso del capitale</t>
  </si>
  <si>
    <t>somma di:</t>
  </si>
  <si>
    <t>CTR</t>
  </si>
  <si>
    <t>costi di trattamento e smaltimento RSU</t>
  </si>
  <si>
    <t>costi di raccolta differenziata per materiale</t>
  </si>
  <si>
    <t>costi di trattamento e riciclo</t>
  </si>
  <si>
    <t>CGG</t>
  </si>
  <si>
    <t>pari al</t>
  </si>
  <si>
    <t>Ripartizione costi fissi (dato reale)</t>
  </si>
  <si>
    <t>Totale costi fissi attribuibili alle utenze domestiche</t>
  </si>
  <si>
    <t>Superficie totale utenze domestiche con 1 componenti nucleo familiare</t>
  </si>
  <si>
    <t>Superficie totale utenze domestiche con 2 componenti nucleo familiare</t>
  </si>
  <si>
    <t>Superficie totale utenze domestiche con 3 componenti nucleo familiare</t>
  </si>
  <si>
    <t>Superficie totale utenze domestiche con 4 componenti nucleo familiare</t>
  </si>
  <si>
    <t>Superficie totale utenze domestiche con 5 componenti nucleo familiare</t>
  </si>
  <si>
    <t>superfici</t>
  </si>
  <si>
    <t>Ripartizione costi variabili (dato reale)</t>
  </si>
  <si>
    <t>Numero totale utenze domestiche con 1 componenti nucleo familiare</t>
  </si>
  <si>
    <t>Numero totale utenze domestiche con 2 componenti nucleo familiare</t>
  </si>
  <si>
    <t>Numero totale utenze domestiche con 3 componenti nucleo familiare</t>
  </si>
  <si>
    <t>Numero totale utenze domestiche con 4 componenti nucleo familiare</t>
  </si>
  <si>
    <t>Numero totale utenze domestiche con 5 componenti nucleo familiare</t>
  </si>
  <si>
    <t>Totale costi variabili attribuibili alle utenze domestiche</t>
  </si>
  <si>
    <t>Utenze domestiche con 1 componenti nucleo familiare</t>
  </si>
  <si>
    <t>Utenze domestiche con 2 componenti nucleo familiare</t>
  </si>
  <si>
    <t>Utenze domestiche con 3 componenti nucleo familiare</t>
  </si>
  <si>
    <t>Utenze domestiche con 4 componenti nucleo familiare</t>
  </si>
  <si>
    <t>Utenze domestiche con 5 componenti nucleo familiare</t>
  </si>
  <si>
    <t>Utenze domestiche con 6 o più componenti nucleo familiare</t>
  </si>
  <si>
    <t>pari a:</t>
  </si>
  <si>
    <t>articolazione su utenze domestiche</t>
  </si>
  <si>
    <t>articolazione su utenze non domestiche</t>
  </si>
  <si>
    <t>Totale costi fissi attribuibili alle utenze non domestiche</t>
  </si>
  <si>
    <t>Totale costi variabili attribuibili alle utenze non domestiche</t>
  </si>
  <si>
    <t>ripartizione costi in classi di attività</t>
  </si>
  <si>
    <t>Musei, biblioteche, scuole, associazioni, luoghi di culto</t>
  </si>
  <si>
    <t>Campeggi, distributori carburanti, impianti sportivi</t>
  </si>
  <si>
    <t>Stabilimenti balneari</t>
  </si>
  <si>
    <t>Esposizioni, autosaloni</t>
  </si>
  <si>
    <t>Alberghi con ristorante</t>
  </si>
  <si>
    <t>Alberghi senza ristorante</t>
  </si>
  <si>
    <t>Case di cura e riposo</t>
  </si>
  <si>
    <t>Uffici, agenzie, studi professionali</t>
  </si>
  <si>
    <t>Banche ed istituti di credito</t>
  </si>
  <si>
    <t>Edicola, farmacia, tabaccaio, plurilicenze</t>
  </si>
  <si>
    <t>Carrozzeria, autofficina, elettrauto</t>
  </si>
  <si>
    <t>Attività industriali con capannoni di produzione</t>
  </si>
  <si>
    <t>Attività artigianali di produzione beni specifici</t>
  </si>
  <si>
    <t>Ristoranti, trattorie, osterie, pizzerie, pub</t>
  </si>
  <si>
    <t>Bar, caffè, pasticceria</t>
  </si>
  <si>
    <t>Plurilicenze alimentari e/o miste</t>
  </si>
  <si>
    <t>Ortofrutta, pescherie, fiori e piante, pizza al taglio</t>
  </si>
  <si>
    <t>Discoteche, night club</t>
  </si>
  <si>
    <t>totale metri quadri assoggettabili alla tassa</t>
  </si>
  <si>
    <t>maggiorazione per mq.</t>
  </si>
  <si>
    <t>totale maggiorazione</t>
  </si>
  <si>
    <t>costi servizio polizia locale</t>
  </si>
  <si>
    <t>costi servizio anagrafe</t>
  </si>
  <si>
    <t>costi illuminazione pubblica</t>
  </si>
  <si>
    <t>costi manutenzione del verde e delle strade</t>
  </si>
  <si>
    <t>da 0,60 a 1,00</t>
  </si>
  <si>
    <t>da 1,40 a 1,80</t>
  </si>
  <si>
    <t>da 1,80 a 2,30</t>
  </si>
  <si>
    <t>da 2,20 a 3,00</t>
  </si>
  <si>
    <t>da 2,90 a 3,60</t>
  </si>
  <si>
    <t>da 3,40 a 4,10</t>
  </si>
  <si>
    <t>scelta operata</t>
  </si>
  <si>
    <t>DATI PER UTENZE DOMESTICHE</t>
  </si>
  <si>
    <t>PARTE FISSA</t>
  </si>
  <si>
    <t>PARTE VARIABILE</t>
  </si>
  <si>
    <t>01 - Musei, biblioteche, scuole, associazioni, luoghi di culto</t>
  </si>
  <si>
    <t>DATI PER UTENZE NON DOMESTICHE</t>
  </si>
  <si>
    <t>superficie tot.</t>
  </si>
  <si>
    <t xml:space="preserve">PARTE FISSA </t>
  </si>
  <si>
    <t>kg./anno ottenuti</t>
  </si>
  <si>
    <t>superfici assoggettabili</t>
  </si>
  <si>
    <t xml:space="preserve">pari al </t>
  </si>
  <si>
    <t>QUOTA UTENZE DOMESTICHE</t>
  </si>
  <si>
    <t>QUOTA UTENZE NON DOMESTICHE</t>
  </si>
  <si>
    <t>UTENZE NON DOMESTICHE</t>
  </si>
  <si>
    <t>UTENZE DOMESTICHE</t>
  </si>
  <si>
    <t xml:space="preserve">fisso da tabella </t>
  </si>
  <si>
    <t>costi fissi €/mq. per classe</t>
  </si>
  <si>
    <t>ripartizione costi fissi per classe di abitanti</t>
  </si>
  <si>
    <t>ripartizione costi variabili per classe di abitanti</t>
  </si>
  <si>
    <t>numero utenze per classe</t>
  </si>
  <si>
    <t>ripartizione costi variabili per classe di attività</t>
  </si>
  <si>
    <t>costi variabili €/mq. per classe</t>
  </si>
  <si>
    <t>superfici riparametrate</t>
  </si>
  <si>
    <t>numero utenze riparametrato</t>
  </si>
  <si>
    <t>SINTESI</t>
  </si>
  <si>
    <t>totale al mq.</t>
  </si>
  <si>
    <t>mq. medi per utenza</t>
  </si>
  <si>
    <t>SCELTE PER UTENZE DOMESTICHE</t>
  </si>
  <si>
    <t>SCELTE PER UTENZE NON DOMESTICHE</t>
  </si>
  <si>
    <t>Costi da ripartire:</t>
  </si>
  <si>
    <t>Quota utenze non domestiche</t>
  </si>
  <si>
    <t>UD copertura costi fissi</t>
  </si>
  <si>
    <t>UD copertura costi variabili</t>
  </si>
  <si>
    <t>UND copertura costi fissi</t>
  </si>
  <si>
    <t>UND copertura costi variabili</t>
  </si>
  <si>
    <t>Quota utenze domestiche</t>
  </si>
  <si>
    <t>coefficiente fisso DPR 158</t>
  </si>
  <si>
    <t>coefficiente scelto DPR 158</t>
  </si>
  <si>
    <t>parametro kg/mq. anno scelto DPR 158</t>
  </si>
  <si>
    <t>Totale costi</t>
  </si>
  <si>
    <t xml:space="preserve">Totale costi </t>
  </si>
  <si>
    <t>costi di raccolta e trasporto RSU</t>
  </si>
  <si>
    <t>superfici totali utenze domestiche</t>
  </si>
  <si>
    <t>superfici totali utenze non domestiche</t>
  </si>
  <si>
    <t>IPOTESI ARTICOLAZIONE UD/UND SU SUPERFICI</t>
  </si>
  <si>
    <t>IPOTESI ARTICOLAZIONE UD/UND SU PRODUZIONE TEORICA</t>
  </si>
  <si>
    <t>produzione teorica totale UD  (1 kg./giorno/ab equivalente DPR 158 x 365)</t>
  </si>
  <si>
    <t xml:space="preserve">UD con 1 componenti </t>
  </si>
  <si>
    <t xml:space="preserve">UD con 2 componenti </t>
  </si>
  <si>
    <t xml:space="preserve">UD con 3 componenti </t>
  </si>
  <si>
    <t xml:space="preserve">UD con 4 componenti </t>
  </si>
  <si>
    <t xml:space="preserve">UD con 5 componenti </t>
  </si>
  <si>
    <t xml:space="preserve">UD con 6 o più componenti </t>
  </si>
  <si>
    <t>Numero totale utenze domestiche con 6 o più comp. nucleo familiare</t>
  </si>
  <si>
    <t>Superficie totale utenze domestiche con 6 o più comp. nucleo familiare</t>
  </si>
  <si>
    <t>% intervallo</t>
  </si>
  <si>
    <t>costi comuni diversi</t>
  </si>
  <si>
    <t>costi personale da imputare a CGG</t>
  </si>
  <si>
    <t>CRT</t>
  </si>
  <si>
    <t>CTS</t>
  </si>
  <si>
    <t>CRD</t>
  </si>
  <si>
    <t>CSL</t>
  </si>
  <si>
    <t>AC</t>
  </si>
  <si>
    <t>costi personale da CSL - CRT - CRD</t>
  </si>
  <si>
    <t>Totale parte fissa</t>
  </si>
  <si>
    <t>alimentazione automatica da dati input</t>
  </si>
  <si>
    <t>la % dell'intervallo da aggiungere al parametro minimo</t>
  </si>
  <si>
    <t>(parametro minimo + 100% dell'intervallo = parametro massimo)</t>
  </si>
  <si>
    <t>E' possibile inserire nella colonna evidenziata in azzurro</t>
  </si>
  <si>
    <t>Gli altri dati verranno aggiornati automaticamente</t>
  </si>
  <si>
    <t>E' possibile inserire la % nella colonna evidenziata in azzurro</t>
  </si>
  <si>
    <t>Utenze domestiche tenute a disposizione</t>
  </si>
  <si>
    <t>TOTALE</t>
  </si>
  <si>
    <t>Kc</t>
  </si>
  <si>
    <t>Kd</t>
  </si>
  <si>
    <t>Descrizione</t>
  </si>
  <si>
    <t>codice</t>
  </si>
  <si>
    <t>%riduzione</t>
  </si>
  <si>
    <t>% Riduzione</t>
  </si>
  <si>
    <t>Codice</t>
  </si>
  <si>
    <t>Applica Riduzioni:</t>
  </si>
  <si>
    <t>Anche a T. Fissa</t>
  </si>
  <si>
    <t>numero utenze*</t>
  </si>
  <si>
    <t>* il numero delle utenze è ridotto in finzione delle riduzioni/pertinenze.</t>
  </si>
  <si>
    <t>indicare con una "X", altrimenti le riduzioni andranno applicate solo alla parte variabile della tariffa</t>
  </si>
  <si>
    <t>superfici RIDOTTE</t>
  </si>
  <si>
    <t>RIDUZIONI UTENZE DOMESTICHE</t>
  </si>
  <si>
    <t>mq. Medi</t>
  </si>
  <si>
    <t>RIDUZIONI UTENZE NON DOMESTICHE</t>
  </si>
  <si>
    <t>Applica riduzione anche a T. Fissa</t>
  </si>
  <si>
    <t>imposta prov.le (5%)</t>
  </si>
  <si>
    <t>Tariffe Utenze Domestiche</t>
  </si>
  <si>
    <t>TARIFFA FISSA (€/mq)</t>
  </si>
  <si>
    <t>TARIFFA VARIABILE (€/utenza)</t>
  </si>
  <si>
    <t>Tariffe Utenze Non Domestiche</t>
  </si>
  <si>
    <t>TARIFFA VARIABILE (€/mq)</t>
  </si>
  <si>
    <t>TOTALE TARIFFA(€/mq)</t>
  </si>
  <si>
    <t>indicare con una "X", altrimenti le riduzioni verranno applicate solo alla parte variabile della tariffa</t>
  </si>
  <si>
    <t>Riduzione</t>
  </si>
  <si>
    <t>Categoria</t>
  </si>
  <si>
    <t>Negozi abbigliamento, calzature, libreria, cartoleria, ferramenta e altri beni durevoli</t>
  </si>
  <si>
    <t>Coefficiente per parte fissa (nord, pop. &lt; 5.000 abitanti)</t>
  </si>
  <si>
    <t>Coefficiente per parte variabile (nord, pop. &lt; 5.000 abitanti)</t>
  </si>
  <si>
    <t>02 - Campeggi, distributori carburanti, impianti sportivi</t>
  </si>
  <si>
    <t>03 - Stabilimenti balneari</t>
  </si>
  <si>
    <t>04 - Esposizioni, autosaloni</t>
  </si>
  <si>
    <t>05 - Alberghi con ristorante</t>
  </si>
  <si>
    <t>06 - Alberghi senza ristorante</t>
  </si>
  <si>
    <t>07 - Case di cura e riposo</t>
  </si>
  <si>
    <t>10 - Negozi abbigliamento, calzature, libreria, cartoleria, ferramenta e altri beni durevoli</t>
  </si>
  <si>
    <t>11 - Edicola, farmacia, tabaccaio, plurilicenze</t>
  </si>
  <si>
    <t>12 - Attività artigianali tipo botteghe: falegname, idraulico, fabbro, elettricista</t>
  </si>
  <si>
    <t>13 - Carrozzeria, autofficina, elettrauto</t>
  </si>
  <si>
    <t>14 - Attività industriali con capannoni di produzione</t>
  </si>
  <si>
    <t>15 - Attività artigianali di produzione beni specifici</t>
  </si>
  <si>
    <t>16 - Ristoranti, trattorie, osterie, pizzerie, pub</t>
  </si>
  <si>
    <t>17 - Bar, caffè, pasticceria</t>
  </si>
  <si>
    <t>18 - Supermercato, pane e pasta, macelleria, salumi e formaggi, generi alimentari</t>
  </si>
  <si>
    <t>19 - Plurilicenze alimentari e/o miste</t>
  </si>
  <si>
    <t>20 - Ortofrutta, pescherie, fiori e piante, pizza al taglio</t>
  </si>
  <si>
    <t>21 - Discoteche, night club</t>
  </si>
  <si>
    <t>08 - Uffici, agenzie</t>
  </si>
  <si>
    <t>09 - Banche ed istituti di credito, studi professionali</t>
  </si>
  <si>
    <t>Uffici, agenzie</t>
  </si>
  <si>
    <t>Banche ed istituti di credito, studi professionali</t>
  </si>
  <si>
    <t>Numero totale utenze domestiche tenute a disposizione</t>
  </si>
  <si>
    <t>PIANO FINANZIARIO - COMUNE DI CASALETTO LODIGIANO</t>
  </si>
  <si>
    <t>Totale parte variabile</t>
  </si>
  <si>
    <t>totale costi PEF</t>
  </si>
  <si>
    <t>Agevolazioni (fondi vincolati avanzo di bilancio</t>
  </si>
  <si>
    <t xml:space="preserve">Parte fissa </t>
  </si>
  <si>
    <t xml:space="preserve">Parte variabile </t>
  </si>
  <si>
    <t>totale costi considerati</t>
  </si>
  <si>
    <t>Coefficiente scelto per parte variabile (nord, pop. &lt; 5.000 abitanti)</t>
  </si>
  <si>
    <t>TARI 2024</t>
  </si>
  <si>
    <t>COMUNE DI CASELLE LANDI - DETERMINAZIONE TARIFFE TARI 2025</t>
  </si>
  <si>
    <t>TARI 2025</t>
  </si>
  <si>
    <t>TOTALE PREV. 2025</t>
  </si>
  <si>
    <t>TOTALE 2024</t>
  </si>
  <si>
    <t>DIFFERENZA 2025/2024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</si>
</sst>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€&quot;\ #,##0.00;\-&quot;€&quot;\ #,##0.00"/>
    <numFmt numFmtId="165" formatCode="&quot;€&quot;\ #,##0.00;[Red]\-&quot;€&quot;\ #,##0.00"/>
    <numFmt numFmtId="166" formatCode="_-&quot;€&quot;\ * #,##0.00_-;\-&quot;€&quot;\ * #,##0.00_-;_-&quot;€&quot;\ * &quot;-&quot;??_-;_-@_-"/>
    <numFmt numFmtId="167" formatCode="_-* #,##0.0000_-;\-* #,##0.0000_-;_-* &quot;-&quot;??_-;_-@_-"/>
    <numFmt numFmtId="168" formatCode="_-* #,##0_-;\-* #,##0_-;_-* &quot;-&quot;??_-;_-@_-"/>
    <numFmt numFmtId="169" formatCode="0.0000"/>
    <numFmt numFmtId="170" formatCode="_-[$€-2]\ * #,##0.00_-;\-[$€-2]\ * #,##0.00_-;_-[$€-2]\ * &quot;-&quot;??_-"/>
    <numFmt numFmtId="171" formatCode="#,##0_ ;\-#,##0\ "/>
    <numFmt numFmtId="172" formatCode="0.000"/>
    <numFmt numFmtId="173" formatCode="&quot;€&quot;\ #,##0.00000;\-&quot;€&quot;\ #,##0.00000"/>
    <numFmt numFmtId="174" formatCode="_-* #,##0.00000_-;\-* #,##0.00000_-;_-* &quot;-&quot;??_-;_-@_-"/>
    <numFmt numFmtId="175" formatCode="#,##0.0000_ ;\-#,##0.0000\ "/>
    <numFmt numFmtId="176" formatCode="&quot;€&quot;\ #,##0.0000;\-&quot;€&quot;\ #,##0.0000"/>
    <numFmt numFmtId="177" formatCode="_-* #,##0.00\ _€_-;\-* #,##0.00\ _€_-;_-* &quot;-&quot;??\ _€_-;_-@_-"/>
    <numFmt numFmtId="178" formatCode="_-&quot;€&quot;\ * #,##0.0000_-;\-&quot;€&quot;\ * #,##0.00_-;_-&quot;€&quot;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4"/>
      <name val="Calibri"/>
      <family val="2"/>
    </font>
    <font>
      <i/>
      <sz val="14"/>
      <color indexed="9"/>
      <name val="Calibri"/>
      <family val="2"/>
    </font>
    <font>
      <sz val="9"/>
      <color indexed="8"/>
      <name val="Calibri"/>
      <family val="2"/>
    </font>
    <font>
      <sz val="9"/>
      <color indexed="30"/>
      <name val="Calibri"/>
      <family val="2"/>
    </font>
    <font>
      <sz val="9"/>
      <color indexed="53"/>
      <name val="Calibri"/>
      <family val="2"/>
    </font>
    <font>
      <sz val="9"/>
      <color indexed="17"/>
      <name val="Calibri"/>
      <family val="2"/>
    </font>
    <font>
      <sz val="9"/>
      <color indexed="55"/>
      <name val="Calibri"/>
      <family val="2"/>
    </font>
    <font>
      <i/>
      <sz val="11"/>
      <color indexed="10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i/>
      <sz val="11"/>
      <color indexed="8"/>
      <name val="Calibri"/>
      <family val="2"/>
    </font>
    <font>
      <b/>
      <sz val="14"/>
      <color indexed="8"/>
      <name val="Calibri"/>
      <family val="2"/>
    </font>
    <font>
      <sz val="22"/>
      <color indexed="8"/>
      <name val="Calibri"/>
      <family val="2"/>
    </font>
    <font>
      <b/>
      <sz val="20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  <font>
      <b/>
      <i/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0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490">
    <xf numFmtId="0" fontId="0" fillId="0" borderId="0" xfId="0"/>
    <xf numFmtId="0" fontId="0" fillId="0" borderId="0" xfId="0" applyAlignment="1">
      <alignment vertical="top" wrapText="1"/>
    </xf>
    <xf numFmtId="43" fontId="0" fillId="0" borderId="0" xfId="0" applyNumberFormat="1" applyAlignment="1">
      <alignment vertical="top" wrapText="1"/>
    </xf>
    <xf numFmtId="43" fontId="0" fillId="0" borderId="0" xfId="0" applyNumberFormat="1"/>
    <xf numFmtId="10" fontId="0" fillId="0" borderId="0" xfId="0" applyNumberFormat="1"/>
    <xf numFmtId="0" fontId="10" fillId="0" borderId="0" xfId="0" applyFont="1" applyAlignment="1">
      <alignment vertical="top" wrapText="1"/>
    </xf>
    <xf numFmtId="43" fontId="0" fillId="0" borderId="1" xfId="0" applyNumberFormat="1" applyBorder="1"/>
    <xf numFmtId="0" fontId="0" fillId="0" borderId="0" xfId="0" applyAlignment="1">
      <alignment horizontal="right" vertical="top" wrapText="1"/>
    </xf>
    <xf numFmtId="167" fontId="6" fillId="0" borderId="0" xfId="2" applyNumberFormat="1" applyFont="1"/>
    <xf numFmtId="168" fontId="0" fillId="0" borderId="0" xfId="0" applyNumberFormat="1"/>
    <xf numFmtId="169" fontId="0" fillId="0" borderId="0" xfId="0" applyNumberFormat="1"/>
    <xf numFmtId="43" fontId="6" fillId="0" borderId="0" xfId="2" applyFont="1"/>
    <xf numFmtId="0" fontId="0" fillId="0" borderId="0" xfId="0" applyAlignment="1">
      <alignment horizontal="center"/>
    </xf>
    <xf numFmtId="43" fontId="6" fillId="2" borderId="2" xfId="2" applyFont="1" applyFill="1" applyBorder="1"/>
    <xf numFmtId="43" fontId="6" fillId="2" borderId="3" xfId="2" applyFont="1" applyFill="1" applyBorder="1"/>
    <xf numFmtId="43" fontId="6" fillId="2" borderId="4" xfId="2" applyFont="1" applyFill="1" applyBorder="1"/>
    <xf numFmtId="0" fontId="11" fillId="0" borderId="0" xfId="0" applyFont="1" applyAlignment="1">
      <alignment vertical="top" wrapText="1"/>
    </xf>
    <xf numFmtId="0" fontId="11" fillId="0" borderId="0" xfId="0" quotePrefix="1" applyFont="1" applyAlignment="1">
      <alignment vertical="top" wrapText="1"/>
    </xf>
    <xf numFmtId="0" fontId="11" fillId="0" borderId="0" xfId="0" applyFont="1"/>
    <xf numFmtId="0" fontId="11" fillId="0" borderId="0" xfId="0" applyFont="1" applyAlignment="1">
      <alignment horizontal="right" vertical="top" wrapText="1"/>
    </xf>
    <xf numFmtId="0" fontId="11" fillId="0" borderId="4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10" fontId="12" fillId="0" borderId="4" xfId="2" applyNumberFormat="1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0" fillId="2" borderId="4" xfId="0" applyFill="1" applyBorder="1"/>
    <xf numFmtId="43" fontId="6" fillId="0" borderId="0" xfId="2" applyFont="1" applyFill="1" applyBorder="1"/>
    <xf numFmtId="43" fontId="6" fillId="0" borderId="1" xfId="2" applyFont="1" applyFill="1" applyBorder="1"/>
    <xf numFmtId="0" fontId="10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43" fontId="6" fillId="0" borderId="0" xfId="2" applyFont="1" applyAlignment="1">
      <alignment horizontal="right" vertical="top" wrapText="1"/>
    </xf>
    <xf numFmtId="0" fontId="12" fillId="0" borderId="0" xfId="0" applyFont="1" applyAlignment="1">
      <alignment vertical="top"/>
    </xf>
    <xf numFmtId="0" fontId="12" fillId="0" borderId="4" xfId="0" applyFont="1" applyBorder="1" applyAlignment="1">
      <alignment horizontal="right" vertical="top" wrapText="1"/>
    </xf>
    <xf numFmtId="2" fontId="0" fillId="0" borderId="0" xfId="0" applyNumberFormat="1" applyAlignment="1">
      <alignment vertical="top" wrapText="1"/>
    </xf>
    <xf numFmtId="0" fontId="13" fillId="0" borderId="0" xfId="0" quotePrefix="1" applyFont="1" applyAlignment="1">
      <alignment horizontal="right" vertical="top" wrapText="1"/>
    </xf>
    <xf numFmtId="2" fontId="0" fillId="0" borderId="0" xfId="0" applyNumberFormat="1" applyAlignment="1">
      <alignment vertical="top"/>
    </xf>
    <xf numFmtId="0" fontId="10" fillId="0" borderId="4" xfId="0" applyFont="1" applyBorder="1" applyAlignment="1">
      <alignment horizontal="center" vertical="top" wrapText="1"/>
    </xf>
    <xf numFmtId="168" fontId="6" fillId="0" borderId="0" xfId="2" applyNumberFormat="1" applyFont="1" applyFill="1" applyBorder="1"/>
    <xf numFmtId="168" fontId="6" fillId="0" borderId="1" xfId="2" applyNumberFormat="1" applyFont="1" applyFill="1" applyBorder="1"/>
    <xf numFmtId="43" fontId="0" fillId="0" borderId="6" xfId="0" applyNumberFormat="1" applyBorder="1"/>
    <xf numFmtId="168" fontId="6" fillId="0" borderId="6" xfId="2" applyNumberFormat="1" applyFont="1" applyFill="1" applyBorder="1"/>
    <xf numFmtId="43" fontId="12" fillId="3" borderId="4" xfId="2" applyFont="1" applyFill="1" applyBorder="1" applyAlignment="1">
      <alignment vertical="top" wrapText="1"/>
    </xf>
    <xf numFmtId="0" fontId="10" fillId="0" borderId="4" xfId="0" applyFont="1" applyBorder="1" applyAlignment="1">
      <alignment horizontal="right" vertical="top" wrapText="1"/>
    </xf>
    <xf numFmtId="0" fontId="10" fillId="0" borderId="4" xfId="0" applyFont="1" applyBorder="1" applyAlignment="1">
      <alignment horizontal="right" vertical="top"/>
    </xf>
    <xf numFmtId="0" fontId="0" fillId="4" borderId="0" xfId="0" applyFill="1" applyAlignment="1">
      <alignment vertical="top" wrapText="1"/>
    </xf>
    <xf numFmtId="0" fontId="10" fillId="4" borderId="0" xfId="0" applyFont="1" applyFill="1" applyAlignment="1">
      <alignment horizontal="left"/>
    </xf>
    <xf numFmtId="43" fontId="12" fillId="4" borderId="4" xfId="2" applyFont="1" applyFill="1" applyBorder="1" applyAlignment="1">
      <alignment vertical="top" wrapText="1"/>
    </xf>
    <xf numFmtId="2" fontId="0" fillId="0" borderId="5" xfId="0" applyNumberFormat="1" applyBorder="1" applyAlignment="1">
      <alignment vertical="top"/>
    </xf>
    <xf numFmtId="0" fontId="0" fillId="0" borderId="2" xfId="0" applyBorder="1" applyAlignment="1">
      <alignment vertical="top" wrapText="1"/>
    </xf>
    <xf numFmtId="2" fontId="0" fillId="0" borderId="3" xfId="0" applyNumberFormat="1" applyBorder="1" applyAlignment="1">
      <alignment vertical="top" wrapText="1"/>
    </xf>
    <xf numFmtId="2" fontId="0" fillId="0" borderId="5" xfId="0" applyNumberFormat="1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0" xfId="0" applyNumberFormat="1"/>
    <xf numFmtId="0" fontId="14" fillId="3" borderId="0" xfId="0" applyFont="1" applyFill="1"/>
    <xf numFmtId="43" fontId="14" fillId="3" borderId="0" xfId="0" applyNumberFormat="1" applyFont="1" applyFill="1"/>
    <xf numFmtId="10" fontId="15" fillId="3" borderId="0" xfId="0" applyNumberFormat="1" applyFont="1" applyFill="1" applyAlignment="1">
      <alignment vertical="top" wrapText="1"/>
    </xf>
    <xf numFmtId="0" fontId="14" fillId="0" borderId="0" xfId="0" applyFont="1"/>
    <xf numFmtId="0" fontId="14" fillId="5" borderId="0" xfId="0" applyFont="1" applyFill="1"/>
    <xf numFmtId="43" fontId="14" fillId="5" borderId="0" xfId="0" applyNumberFormat="1" applyFont="1" applyFill="1"/>
    <xf numFmtId="10" fontId="14" fillId="5" borderId="0" xfId="0" applyNumberFormat="1" applyFont="1" applyFill="1"/>
    <xf numFmtId="0" fontId="14" fillId="6" borderId="0" xfId="0" applyFont="1" applyFill="1"/>
    <xf numFmtId="43" fontId="14" fillId="6" borderId="1" xfId="0" applyNumberFormat="1" applyFont="1" applyFill="1" applyBorder="1"/>
    <xf numFmtId="10" fontId="14" fillId="6" borderId="0" xfId="0" applyNumberFormat="1" applyFont="1" applyFill="1"/>
    <xf numFmtId="43" fontId="14" fillId="0" borderId="0" xfId="0" applyNumberFormat="1" applyFont="1"/>
    <xf numFmtId="0" fontId="14" fillId="7" borderId="0" xfId="0" applyFont="1" applyFill="1"/>
    <xf numFmtId="43" fontId="14" fillId="7" borderId="0" xfId="0" applyNumberFormat="1" applyFont="1" applyFill="1"/>
    <xf numFmtId="10" fontId="14" fillId="7" borderId="0" xfId="0" applyNumberFormat="1" applyFont="1" applyFill="1"/>
    <xf numFmtId="0" fontId="16" fillId="7" borderId="0" xfId="0" applyFont="1" applyFill="1"/>
    <xf numFmtId="43" fontId="16" fillId="7" borderId="1" xfId="0" applyNumberFormat="1" applyFont="1" applyFill="1" applyBorder="1"/>
    <xf numFmtId="10" fontId="16" fillId="7" borderId="1" xfId="0" applyNumberFormat="1" applyFont="1" applyFill="1" applyBorder="1"/>
    <xf numFmtId="43" fontId="14" fillId="6" borderId="0" xfId="0" applyNumberFormat="1" applyFont="1" applyFill="1"/>
    <xf numFmtId="0" fontId="16" fillId="8" borderId="0" xfId="0" applyFont="1" applyFill="1"/>
    <xf numFmtId="43" fontId="16" fillId="8" borderId="1" xfId="0" applyNumberFormat="1" applyFont="1" applyFill="1" applyBorder="1"/>
    <xf numFmtId="10" fontId="16" fillId="8" borderId="0" xfId="0" applyNumberFormat="1" applyFont="1" applyFill="1"/>
    <xf numFmtId="43" fontId="11" fillId="0" borderId="0" xfId="0" applyNumberFormat="1" applyFont="1"/>
    <xf numFmtId="0" fontId="8" fillId="0" borderId="0" xfId="0" applyFont="1" applyAlignment="1">
      <alignment horizontal="right" vertical="top" wrapText="1"/>
    </xf>
    <xf numFmtId="0" fontId="0" fillId="2" borderId="1" xfId="0" applyFill="1" applyBorder="1"/>
    <xf numFmtId="0" fontId="0" fillId="2" borderId="6" xfId="0" applyFill="1" applyBorder="1"/>
    <xf numFmtId="0" fontId="0" fillId="2" borderId="0" xfId="0" applyFill="1"/>
    <xf numFmtId="0" fontId="0" fillId="2" borderId="1" xfId="0" applyFill="1" applyBorder="1" applyAlignment="1">
      <alignment vertical="top" wrapText="1"/>
    </xf>
    <xf numFmtId="168" fontId="0" fillId="2" borderId="7" xfId="0" applyNumberFormat="1" applyFill="1" applyBorder="1"/>
    <xf numFmtId="0" fontId="8" fillId="0" borderId="0" xfId="0" applyFont="1" applyAlignment="1">
      <alignment horizontal="right" vertical="top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vertical="top" wrapText="1"/>
    </xf>
    <xf numFmtId="0" fontId="20" fillId="0" borderId="0" xfId="0" applyFont="1"/>
    <xf numFmtId="0" fontId="20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19" fillId="0" borderId="0" xfId="0" applyFont="1" applyAlignment="1">
      <alignment vertical="top" wrapText="1"/>
    </xf>
    <xf numFmtId="168" fontId="17" fillId="0" borderId="0" xfId="0" applyNumberFormat="1" applyFont="1" applyAlignment="1">
      <alignment vertical="top" wrapText="1"/>
    </xf>
    <xf numFmtId="0" fontId="21" fillId="0" borderId="0" xfId="0" applyFont="1"/>
    <xf numFmtId="10" fontId="0" fillId="0" borderId="0" xfId="0" applyNumberForma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right"/>
    </xf>
    <xf numFmtId="0" fontId="11" fillId="0" borderId="2" xfId="0" applyFont="1" applyBorder="1" applyAlignment="1">
      <alignment vertical="top" wrapText="1"/>
    </xf>
    <xf numFmtId="43" fontId="18" fillId="0" borderId="0" xfId="2" applyFont="1" applyFill="1" applyAlignment="1">
      <alignment vertical="top" wrapText="1"/>
    </xf>
    <xf numFmtId="40" fontId="17" fillId="0" borderId="0" xfId="0" applyNumberFormat="1" applyFont="1"/>
    <xf numFmtId="43" fontId="18" fillId="0" borderId="0" xfId="2" applyFont="1" applyFill="1" applyAlignment="1">
      <alignment horizontal="center" vertical="top" wrapText="1"/>
    </xf>
    <xf numFmtId="43" fontId="11" fillId="0" borderId="0" xfId="0" applyNumberFormat="1" applyFont="1" applyAlignment="1">
      <alignment vertical="top" wrapText="1"/>
    </xf>
    <xf numFmtId="168" fontId="0" fillId="2" borderId="8" xfId="0" applyNumberFormat="1" applyFill="1" applyBorder="1"/>
    <xf numFmtId="168" fontId="0" fillId="2" borderId="9" xfId="0" applyNumberFormat="1" applyFill="1" applyBorder="1"/>
    <xf numFmtId="168" fontId="0" fillId="2" borderId="10" xfId="0" applyNumberFormat="1" applyFill="1" applyBorder="1"/>
    <xf numFmtId="168" fontId="0" fillId="2" borderId="10" xfId="0" applyNumberForma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43" fontId="22" fillId="3" borderId="4" xfId="2" applyFont="1" applyFill="1" applyBorder="1" applyAlignment="1">
      <alignment vertical="top" wrapText="1"/>
    </xf>
    <xf numFmtId="43" fontId="22" fillId="3" borderId="5" xfId="2" applyFont="1" applyFill="1" applyBorder="1" applyAlignment="1">
      <alignment vertical="top" wrapText="1"/>
    </xf>
    <xf numFmtId="43" fontId="18" fillId="0" borderId="0" xfId="2" applyFont="1" applyFill="1" applyBorder="1" applyAlignment="1">
      <alignment horizontal="right" vertical="top" wrapText="1"/>
    </xf>
    <xf numFmtId="43" fontId="12" fillId="4" borderId="3" xfId="2" applyFont="1" applyFill="1" applyBorder="1" applyAlignment="1">
      <alignment vertical="top" wrapText="1"/>
    </xf>
    <xf numFmtId="43" fontId="12" fillId="4" borderId="5" xfId="2" applyFont="1" applyFill="1" applyBorder="1" applyAlignment="1">
      <alignment vertical="top" wrapText="1"/>
    </xf>
    <xf numFmtId="43" fontId="22" fillId="3" borderId="3" xfId="2" applyFont="1" applyFill="1" applyBorder="1" applyAlignment="1">
      <alignment vertical="top" wrapText="1"/>
    </xf>
    <xf numFmtId="43" fontId="7" fillId="0" borderId="0" xfId="2" applyFont="1" applyAlignment="1">
      <alignment vertical="top" wrapText="1"/>
    </xf>
    <xf numFmtId="43" fontId="12" fillId="0" borderId="0" xfId="2" applyFont="1" applyFill="1" applyBorder="1" applyAlignment="1">
      <alignment vertical="top" wrapText="1"/>
    </xf>
    <xf numFmtId="43" fontId="22" fillId="0" borderId="0" xfId="2" applyFont="1" applyFill="1" applyBorder="1" applyAlignment="1">
      <alignment vertical="top" wrapText="1"/>
    </xf>
    <xf numFmtId="10" fontId="12" fillId="0" borderId="0" xfId="2" applyNumberFormat="1" applyFont="1" applyFill="1" applyBorder="1" applyAlignment="1">
      <alignment vertical="top" wrapText="1"/>
    </xf>
    <xf numFmtId="43" fontId="6" fillId="0" borderId="0" xfId="2" applyFont="1" applyFill="1"/>
    <xf numFmtId="0" fontId="2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0" fillId="9" borderId="4" xfId="0" applyFont="1" applyFill="1" applyBorder="1" applyAlignment="1">
      <alignment horizontal="center" vertical="top" wrapText="1"/>
    </xf>
    <xf numFmtId="0" fontId="10" fillId="0" borderId="0" xfId="0" applyFont="1"/>
    <xf numFmtId="0" fontId="10" fillId="9" borderId="4" xfId="0" applyFont="1" applyFill="1" applyBorder="1" applyAlignment="1">
      <alignment horizontal="center" vertical="center" wrapText="1"/>
    </xf>
    <xf numFmtId="43" fontId="12" fillId="3" borderId="5" xfId="2" applyFont="1" applyFill="1" applyBorder="1" applyAlignment="1">
      <alignment vertical="top" wrapText="1"/>
    </xf>
    <xf numFmtId="0" fontId="24" fillId="0" borderId="0" xfId="0" applyFont="1" applyAlignment="1">
      <alignment horizontal="right"/>
    </xf>
    <xf numFmtId="168" fontId="0" fillId="6" borderId="10" xfId="0" applyNumberFormat="1" applyFill="1" applyBorder="1"/>
    <xf numFmtId="0" fontId="0" fillId="6" borderId="1" xfId="0" applyFill="1" applyBorder="1"/>
    <xf numFmtId="168" fontId="6" fillId="6" borderId="7" xfId="2" applyNumberFormat="1" applyFont="1" applyFill="1" applyBorder="1"/>
    <xf numFmtId="168" fontId="0" fillId="0" borderId="11" xfId="0" applyNumberFormat="1" applyBorder="1"/>
    <xf numFmtId="0" fontId="0" fillId="0" borderId="11" xfId="0" applyBorder="1"/>
    <xf numFmtId="168" fontId="6" fillId="0" borderId="11" xfId="2" applyNumberFormat="1" applyFont="1" applyFill="1" applyBorder="1"/>
    <xf numFmtId="43" fontId="10" fillId="0" borderId="0" xfId="2" applyFont="1"/>
    <xf numFmtId="0" fontId="10" fillId="0" borderId="4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0" fillId="0" borderId="0" xfId="0" applyAlignment="1">
      <alignment vertical="top"/>
    </xf>
    <xf numFmtId="2" fontId="0" fillId="0" borderId="6" xfId="0" applyNumberFormat="1" applyBorder="1" applyAlignment="1">
      <alignment horizontal="center" vertical="top"/>
    </xf>
    <xf numFmtId="9" fontId="1" fillId="9" borderId="21" xfId="4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2" fontId="0" fillId="0" borderId="0" xfId="0" applyNumberFormat="1" applyAlignment="1">
      <alignment horizontal="center" vertical="top"/>
    </xf>
    <xf numFmtId="9" fontId="1" fillId="9" borderId="22" xfId="4" applyFont="1" applyFill="1" applyBorder="1" applyAlignment="1">
      <alignment horizontal="center" vertical="top"/>
    </xf>
    <xf numFmtId="2" fontId="0" fillId="0" borderId="1" xfId="0" applyNumberFormat="1" applyBorder="1" applyAlignment="1">
      <alignment horizontal="center" vertical="top"/>
    </xf>
    <xf numFmtId="9" fontId="1" fillId="9" borderId="7" xfId="4" applyFont="1" applyFill="1" applyBorder="1" applyAlignment="1">
      <alignment horizontal="center" vertical="top"/>
    </xf>
    <xf numFmtId="0" fontId="23" fillId="0" borderId="0" xfId="0" applyFont="1" applyAlignment="1">
      <alignment horizontal="center" vertical="top" wrapText="1"/>
    </xf>
    <xf numFmtId="10" fontId="0" fillId="2" borderId="5" xfId="0" applyNumberFormat="1" applyFill="1" applyBorder="1" applyAlignment="1">
      <alignment horizontal="center" vertical="top" wrapText="1"/>
    </xf>
    <xf numFmtId="10" fontId="0" fillId="2" borderId="3" xfId="0" applyNumberFormat="1" applyFill="1" applyBorder="1" applyAlignment="1">
      <alignment horizontal="center" vertical="top" wrapText="1"/>
    </xf>
    <xf numFmtId="0" fontId="9" fillId="10" borderId="4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9" fontId="6" fillId="0" borderId="16" xfId="4" applyFont="1" applyBorder="1" applyAlignment="1">
      <alignment horizontal="center"/>
    </xf>
    <xf numFmtId="0" fontId="9" fillId="9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168" fontId="0" fillId="0" borderId="0" xfId="0" applyNumberFormat="1" applyAlignment="1">
      <alignment vertical="top" wrapText="1"/>
    </xf>
    <xf numFmtId="168" fontId="9" fillId="9" borderId="4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168" fontId="9" fillId="0" borderId="0" xfId="0" applyNumberFormat="1" applyFont="1" applyAlignment="1">
      <alignment horizontal="center"/>
    </xf>
    <xf numFmtId="168" fontId="6" fillId="2" borderId="21" xfId="2" applyNumberFormat="1" applyFont="1" applyFill="1" applyBorder="1" applyAlignment="1">
      <alignment horizontal="center"/>
    </xf>
    <xf numFmtId="168" fontId="6" fillId="2" borderId="22" xfId="2" applyNumberFormat="1" applyFont="1" applyFill="1" applyBorder="1" applyAlignment="1">
      <alignment horizontal="center"/>
    </xf>
    <xf numFmtId="168" fontId="6" fillId="2" borderId="7" xfId="2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9" fontId="6" fillId="0" borderId="0" xfId="4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2" fontId="10" fillId="0" borderId="2" xfId="0" applyNumberFormat="1" applyFont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168" fontId="9" fillId="9" borderId="4" xfId="0" applyNumberFormat="1" applyFont="1" applyFill="1" applyBorder="1" applyAlignment="1">
      <alignment horizontal="center" vertical="center" wrapText="1"/>
    </xf>
    <xf numFmtId="43" fontId="6" fillId="0" borderId="7" xfId="2" applyFont="1" applyFill="1" applyBorder="1"/>
    <xf numFmtId="167" fontId="6" fillId="0" borderId="1" xfId="2" applyNumberFormat="1" applyFont="1" applyBorder="1"/>
    <xf numFmtId="0" fontId="10" fillId="0" borderId="23" xfId="0" applyFont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166" fontId="0" fillId="0" borderId="0" xfId="0" applyNumberFormat="1"/>
    <xf numFmtId="0" fontId="0" fillId="0" borderId="0" xfId="0" quotePrefix="1"/>
    <xf numFmtId="9" fontId="0" fillId="0" borderId="0" xfId="4" applyFont="1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  <xf numFmtId="172" fontId="0" fillId="0" borderId="13" xfId="0" applyNumberFormat="1" applyBorder="1" applyAlignment="1">
      <alignment horizontal="center"/>
    </xf>
    <xf numFmtId="9" fontId="6" fillId="0" borderId="20" xfId="4" applyFont="1" applyBorder="1" applyAlignment="1">
      <alignment horizontal="center"/>
    </xf>
    <xf numFmtId="0" fontId="0" fillId="0" borderId="12" xfId="0" applyBorder="1"/>
    <xf numFmtId="0" fontId="0" fillId="0" borderId="18" xfId="0" applyBorder="1"/>
    <xf numFmtId="4" fontId="0" fillId="0" borderId="0" xfId="0" applyNumberFormat="1" applyAlignment="1">
      <alignment horizontal="center"/>
    </xf>
    <xf numFmtId="9" fontId="0" fillId="0" borderId="0" xfId="4" quotePrefix="1" applyFont="1" applyAlignment="1">
      <alignment horizontal="center"/>
    </xf>
    <xf numFmtId="9" fontId="0" fillId="0" borderId="26" xfId="4" applyFont="1" applyBorder="1" applyAlignment="1">
      <alignment horizontal="center"/>
    </xf>
    <xf numFmtId="4" fontId="25" fillId="5" borderId="26" xfId="0" applyNumberFormat="1" applyFont="1" applyFill="1" applyBorder="1" applyAlignment="1">
      <alignment horizontal="center"/>
    </xf>
    <xf numFmtId="0" fontId="0" fillId="0" borderId="28" xfId="0" quotePrefix="1" applyBorder="1"/>
    <xf numFmtId="0" fontId="0" fillId="0" borderId="29" xfId="0" applyBorder="1"/>
    <xf numFmtId="0" fontId="0" fillId="0" borderId="29" xfId="0" quotePrefix="1" applyBorder="1"/>
    <xf numFmtId="0" fontId="0" fillId="0" borderId="29" xfId="0" quotePrefix="1" applyBorder="1" applyAlignment="1">
      <alignment horizontal="center"/>
    </xf>
    <xf numFmtId="9" fontId="0" fillId="0" borderId="29" xfId="4" quotePrefix="1" applyFont="1" applyBorder="1" applyAlignment="1">
      <alignment horizontal="center"/>
    </xf>
    <xf numFmtId="4" fontId="0" fillId="0" borderId="29" xfId="0" applyNumberFormat="1" applyBorder="1" applyAlignment="1">
      <alignment horizontal="center"/>
    </xf>
    <xf numFmtId="9" fontId="0" fillId="0" borderId="29" xfId="4" applyFont="1" applyBorder="1" applyAlignment="1">
      <alignment horizontal="center"/>
    </xf>
    <xf numFmtId="0" fontId="0" fillId="0" borderId="30" xfId="0" quotePrefix="1" applyBorder="1"/>
    <xf numFmtId="0" fontId="0" fillId="0" borderId="31" xfId="0" applyBorder="1"/>
    <xf numFmtId="0" fontId="0" fillId="0" borderId="31" xfId="0" quotePrefix="1" applyBorder="1"/>
    <xf numFmtId="0" fontId="0" fillId="0" borderId="31" xfId="0" quotePrefix="1" applyBorder="1" applyAlignment="1">
      <alignment horizontal="center"/>
    </xf>
    <xf numFmtId="9" fontId="0" fillId="0" borderId="31" xfId="4" quotePrefix="1" applyFont="1" applyBorder="1" applyAlignment="1">
      <alignment horizontal="center"/>
    </xf>
    <xf numFmtId="4" fontId="0" fillId="0" borderId="31" xfId="0" applyNumberFormat="1" applyBorder="1" applyAlignment="1">
      <alignment horizontal="center"/>
    </xf>
    <xf numFmtId="9" fontId="0" fillId="0" borderId="31" xfId="4" applyFont="1" applyBorder="1" applyAlignment="1">
      <alignment horizontal="center"/>
    </xf>
    <xf numFmtId="9" fontId="8" fillId="0" borderId="31" xfId="4" quotePrefix="1" applyFont="1" applyBorder="1" applyAlignment="1">
      <alignment horizontal="center"/>
    </xf>
    <xf numFmtId="4" fontId="0" fillId="7" borderId="29" xfId="0" applyNumberFormat="1" applyFill="1" applyBorder="1" applyAlignment="1">
      <alignment horizontal="center"/>
    </xf>
    <xf numFmtId="4" fontId="0" fillId="7" borderId="29" xfId="0" applyNumberFormat="1" applyFill="1" applyBorder="1"/>
    <xf numFmtId="4" fontId="0" fillId="7" borderId="32" xfId="0" applyNumberFormat="1" applyFill="1" applyBorder="1"/>
    <xf numFmtId="4" fontId="0" fillId="7" borderId="31" xfId="0" applyNumberFormat="1" applyFill="1" applyBorder="1" applyAlignment="1">
      <alignment horizontal="center"/>
    </xf>
    <xf numFmtId="4" fontId="0" fillId="7" borderId="31" xfId="0" applyNumberFormat="1" applyFill="1" applyBorder="1"/>
    <xf numFmtId="4" fontId="0" fillId="7" borderId="33" xfId="0" applyNumberFormat="1" applyFill="1" applyBorder="1"/>
    <xf numFmtId="4" fontId="0" fillId="7" borderId="25" xfId="0" applyNumberFormat="1" applyFill="1" applyBorder="1"/>
    <xf numFmtId="4" fontId="0" fillId="7" borderId="34" xfId="0" applyNumberFormat="1" applyFill="1" applyBorder="1"/>
    <xf numFmtId="4" fontId="25" fillId="5" borderId="26" xfId="0" applyNumberFormat="1" applyFont="1" applyFill="1" applyBorder="1"/>
    <xf numFmtId="4" fontId="25" fillId="5" borderId="27" xfId="0" applyNumberFormat="1" applyFont="1" applyFill="1" applyBorder="1"/>
    <xf numFmtId="9" fontId="0" fillId="0" borderId="35" xfId="4" applyFont="1" applyBorder="1" applyAlignment="1">
      <alignment horizontal="center"/>
    </xf>
    <xf numFmtId="4" fontId="25" fillId="0" borderId="26" xfId="0" applyNumberFormat="1" applyFont="1" applyBorder="1" applyAlignment="1">
      <alignment horizontal="center"/>
    </xf>
    <xf numFmtId="4" fontId="25" fillId="0" borderId="35" xfId="0" applyNumberFormat="1" applyFont="1" applyBorder="1" applyAlignment="1">
      <alignment horizontal="center"/>
    </xf>
    <xf numFmtId="4" fontId="8" fillId="7" borderId="31" xfId="0" applyNumberFormat="1" applyFont="1" applyFill="1" applyBorder="1" applyAlignment="1">
      <alignment horizontal="center"/>
    </xf>
    <xf numFmtId="4" fontId="8" fillId="7" borderId="25" xfId="0" applyNumberFormat="1" applyFont="1" applyFill="1" applyBorder="1" applyAlignment="1">
      <alignment horizontal="center"/>
    </xf>
    <xf numFmtId="0" fontId="0" fillId="0" borderId="37" xfId="0" quotePrefix="1" applyBorder="1" applyAlignment="1">
      <alignment horizontal="center"/>
    </xf>
    <xf numFmtId="9" fontId="0" fillId="0" borderId="37" xfId="4" quotePrefix="1" applyFont="1" applyBorder="1" applyAlignment="1">
      <alignment horizontal="center"/>
    </xf>
    <xf numFmtId="4" fontId="0" fillId="0" borderId="37" xfId="0" applyNumberFormat="1" applyBorder="1" applyAlignment="1">
      <alignment horizontal="center"/>
    </xf>
    <xf numFmtId="0" fontId="29" fillId="10" borderId="5" xfId="0" applyFont="1" applyFill="1" applyBorder="1" applyAlignment="1">
      <alignment horizontal="center" vertical="center" wrapText="1"/>
    </xf>
    <xf numFmtId="0" fontId="0" fillId="11" borderId="30" xfId="0" quotePrefix="1" applyFill="1" applyBorder="1"/>
    <xf numFmtId="0" fontId="0" fillId="11" borderId="31" xfId="0" applyFill="1" applyBorder="1"/>
    <xf numFmtId="0" fontId="0" fillId="11" borderId="31" xfId="0" quotePrefix="1" applyFill="1" applyBorder="1"/>
    <xf numFmtId="0" fontId="0" fillId="11" borderId="38" xfId="0" quotePrefix="1" applyFill="1" applyBorder="1"/>
    <xf numFmtId="0" fontId="0" fillId="11" borderId="25" xfId="0" applyFill="1" applyBorder="1"/>
    <xf numFmtId="0" fontId="0" fillId="11" borderId="25" xfId="0" quotePrefix="1" applyFill="1" applyBorder="1"/>
    <xf numFmtId="0" fontId="0" fillId="11" borderId="31" xfId="0" quotePrefix="1" applyFill="1" applyBorder="1" applyAlignment="1">
      <alignment horizontal="center"/>
    </xf>
    <xf numFmtId="9" fontId="0" fillId="11" borderId="31" xfId="4" quotePrefix="1" applyFont="1" applyFill="1" applyBorder="1" applyAlignment="1">
      <alignment horizontal="center"/>
    </xf>
    <xf numFmtId="4" fontId="0" fillId="11" borderId="31" xfId="0" applyNumberFormat="1" applyFill="1" applyBorder="1" applyAlignment="1">
      <alignment horizontal="center"/>
    </xf>
    <xf numFmtId="0" fontId="0" fillId="11" borderId="25" xfId="0" quotePrefix="1" applyFill="1" applyBorder="1" applyAlignment="1">
      <alignment horizontal="center"/>
    </xf>
    <xf numFmtId="9" fontId="8" fillId="11" borderId="25" xfId="4" quotePrefix="1" applyFont="1" applyFill="1" applyBorder="1" applyAlignment="1">
      <alignment horizontal="center"/>
    </xf>
    <xf numFmtId="4" fontId="0" fillId="11" borderId="25" xfId="0" applyNumberFormat="1" applyFill="1" applyBorder="1" applyAlignment="1">
      <alignment horizontal="center"/>
    </xf>
    <xf numFmtId="9" fontId="0" fillId="11" borderId="31" xfId="4" applyFont="1" applyFill="1" applyBorder="1" applyAlignment="1">
      <alignment horizontal="center"/>
    </xf>
    <xf numFmtId="9" fontId="0" fillId="11" borderId="25" xfId="4" applyFont="1" applyFill="1" applyBorder="1" applyAlignment="1">
      <alignment horizontal="center"/>
    </xf>
    <xf numFmtId="4" fontId="11" fillId="7" borderId="31" xfId="0" applyNumberFormat="1" applyFont="1" applyFill="1" applyBorder="1" applyAlignment="1">
      <alignment horizontal="center"/>
    </xf>
    <xf numFmtId="4" fontId="0" fillId="11" borderId="31" xfId="0" applyNumberFormat="1" applyFill="1" applyBorder="1"/>
    <xf numFmtId="4" fontId="0" fillId="11" borderId="39" xfId="0" applyNumberFormat="1" applyFill="1" applyBorder="1"/>
    <xf numFmtId="0" fontId="29" fillId="6" borderId="5" xfId="0" applyFont="1" applyFill="1" applyBorder="1" applyAlignment="1">
      <alignment horizontal="center" vertical="center" wrapText="1"/>
    </xf>
    <xf numFmtId="9" fontId="29" fillId="6" borderId="5" xfId="4" applyFont="1" applyFill="1" applyBorder="1" applyAlignment="1">
      <alignment horizontal="center" vertical="center" wrapText="1"/>
    </xf>
    <xf numFmtId="4" fontId="29" fillId="5" borderId="5" xfId="0" applyNumberFormat="1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/>
    </xf>
    <xf numFmtId="0" fontId="0" fillId="11" borderId="29" xfId="0" quotePrefix="1" applyFill="1" applyBorder="1"/>
    <xf numFmtId="0" fontId="0" fillId="11" borderId="29" xfId="0" applyFill="1" applyBorder="1"/>
    <xf numFmtId="0" fontId="0" fillId="11" borderId="29" xfId="0" quotePrefix="1" applyFill="1" applyBorder="1" applyAlignment="1">
      <alignment horizontal="center"/>
    </xf>
    <xf numFmtId="9" fontId="0" fillId="11" borderId="29" xfId="4" quotePrefix="1" applyFont="1" applyFill="1" applyBorder="1" applyAlignment="1">
      <alignment horizontal="center"/>
    </xf>
    <xf numFmtId="4" fontId="0" fillId="11" borderId="29" xfId="0" applyNumberFormat="1" applyFill="1" applyBorder="1" applyAlignment="1">
      <alignment horizontal="center"/>
    </xf>
    <xf numFmtId="9" fontId="0" fillId="11" borderId="29" xfId="4" applyFont="1" applyFill="1" applyBorder="1" applyAlignment="1">
      <alignment horizontal="center"/>
    </xf>
    <xf numFmtId="4" fontId="0" fillId="11" borderId="29" xfId="0" applyNumberFormat="1" applyFill="1" applyBorder="1"/>
    <xf numFmtId="4" fontId="0" fillId="11" borderId="40" xfId="0" applyNumberFormat="1" applyFill="1" applyBorder="1"/>
    <xf numFmtId="0" fontId="0" fillId="11" borderId="30" xfId="0" applyFill="1" applyBorder="1" applyAlignment="1">
      <alignment horizontal="center"/>
    </xf>
    <xf numFmtId="0" fontId="0" fillId="11" borderId="41" xfId="0" applyFill="1" applyBorder="1" applyAlignment="1">
      <alignment horizontal="center"/>
    </xf>
    <xf numFmtId="0" fontId="0" fillId="11" borderId="42" xfId="0" quotePrefix="1" applyFill="1" applyBorder="1"/>
    <xf numFmtId="0" fontId="0" fillId="11" borderId="42" xfId="0" applyFill="1" applyBorder="1"/>
    <xf numFmtId="0" fontId="0" fillId="11" borderId="42" xfId="0" quotePrefix="1" applyFill="1" applyBorder="1" applyAlignment="1">
      <alignment horizontal="center"/>
    </xf>
    <xf numFmtId="9" fontId="0" fillId="11" borderId="42" xfId="4" quotePrefix="1" applyFont="1" applyFill="1" applyBorder="1" applyAlignment="1">
      <alignment horizontal="center"/>
    </xf>
    <xf numFmtId="4" fontId="0" fillId="11" borderId="42" xfId="0" applyNumberFormat="1" applyFill="1" applyBorder="1" applyAlignment="1">
      <alignment horizontal="center"/>
    </xf>
    <xf numFmtId="9" fontId="0" fillId="11" borderId="42" xfId="4" applyFont="1" applyFill="1" applyBorder="1" applyAlignment="1">
      <alignment horizontal="center"/>
    </xf>
    <xf numFmtId="4" fontId="0" fillId="11" borderId="42" xfId="0" applyNumberFormat="1" applyFill="1" applyBorder="1"/>
    <xf numFmtId="4" fontId="0" fillId="11" borderId="43" xfId="0" applyNumberFormat="1" applyFill="1" applyBorder="1"/>
    <xf numFmtId="0" fontId="0" fillId="9" borderId="31" xfId="0" quotePrefix="1" applyFill="1" applyBorder="1"/>
    <xf numFmtId="0" fontId="0" fillId="9" borderId="30" xfId="0" quotePrefix="1" applyFill="1" applyBorder="1"/>
    <xf numFmtId="0" fontId="0" fillId="9" borderId="31" xfId="0" applyFill="1" applyBorder="1"/>
    <xf numFmtId="9" fontId="0" fillId="0" borderId="0" xfId="4" applyFont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164" fontId="29" fillId="12" borderId="2" xfId="5" applyNumberFormat="1" applyFont="1" applyFill="1" applyBorder="1"/>
    <xf numFmtId="164" fontId="29" fillId="12" borderId="3" xfId="5" applyNumberFormat="1" applyFont="1" applyFill="1" applyBorder="1"/>
    <xf numFmtId="0" fontId="0" fillId="0" borderId="44" xfId="0" applyBorder="1"/>
    <xf numFmtId="0" fontId="0" fillId="0" borderId="45" xfId="0" applyBorder="1"/>
    <xf numFmtId="1" fontId="0" fillId="0" borderId="45" xfId="0" applyNumberFormat="1" applyBorder="1" applyAlignment="1">
      <alignment horizontal="center"/>
    </xf>
    <xf numFmtId="166" fontId="6" fillId="0" borderId="45" xfId="5" applyFont="1" applyBorder="1"/>
    <xf numFmtId="166" fontId="9" fillId="6" borderId="45" xfId="5" applyFont="1" applyFill="1" applyBorder="1"/>
    <xf numFmtId="0" fontId="0" fillId="0" borderId="46" xfId="0" applyBorder="1"/>
    <xf numFmtId="1" fontId="0" fillId="0" borderId="31" xfId="0" applyNumberFormat="1" applyBorder="1" applyAlignment="1">
      <alignment horizontal="center"/>
    </xf>
    <xf numFmtId="166" fontId="6" fillId="0" borderId="31" xfId="5" applyFont="1" applyBorder="1"/>
    <xf numFmtId="166" fontId="9" fillId="6" borderId="31" xfId="5" applyFont="1" applyFill="1" applyBorder="1"/>
    <xf numFmtId="166" fontId="0" fillId="0" borderId="45" xfId="5" applyFont="1" applyBorder="1"/>
    <xf numFmtId="166" fontId="0" fillId="0" borderId="31" xfId="5" applyFont="1" applyBorder="1"/>
    <xf numFmtId="166" fontId="9" fillId="7" borderId="47" xfId="5" applyFont="1" applyFill="1" applyBorder="1"/>
    <xf numFmtId="166" fontId="9" fillId="7" borderId="39" xfId="5" applyFont="1" applyFill="1" applyBorder="1"/>
    <xf numFmtId="0" fontId="25" fillId="5" borderId="4" xfId="0" applyFont="1" applyFill="1" applyBorder="1" applyAlignment="1">
      <alignment horizontal="center" vertical="center" wrapText="1"/>
    </xf>
    <xf numFmtId="174" fontId="0" fillId="0" borderId="45" xfId="0" applyNumberFormat="1" applyBorder="1"/>
    <xf numFmtId="174" fontId="0" fillId="0" borderId="31" xfId="0" applyNumberFormat="1" applyBorder="1"/>
    <xf numFmtId="175" fontId="0" fillId="0" borderId="45" xfId="0" applyNumberFormat="1" applyBorder="1" applyAlignment="1">
      <alignment horizontal="center"/>
    </xf>
    <xf numFmtId="175" fontId="0" fillId="0" borderId="31" xfId="0" applyNumberFormat="1" applyBorder="1" applyAlignment="1">
      <alignment horizontal="center"/>
    </xf>
    <xf numFmtId="166" fontId="9" fillId="0" borderId="45" xfId="5" applyFont="1" applyFill="1" applyBorder="1" applyAlignment="1"/>
    <xf numFmtId="166" fontId="9" fillId="0" borderId="45" xfId="5" applyFont="1" applyFill="1" applyBorder="1"/>
    <xf numFmtId="166" fontId="9" fillId="0" borderId="31" xfId="5" applyFont="1" applyFill="1" applyBorder="1" applyAlignment="1"/>
    <xf numFmtId="166" fontId="9" fillId="0" borderId="31" xfId="5" applyFont="1" applyFill="1" applyBorder="1"/>
    <xf numFmtId="1" fontId="10" fillId="0" borderId="0" xfId="0" applyNumberFormat="1" applyFont="1" applyAlignment="1">
      <alignment horizontal="center"/>
    </xf>
    <xf numFmtId="43" fontId="6" fillId="0" borderId="1" xfId="2" applyFont="1" applyBorder="1"/>
    <xf numFmtId="0" fontId="11" fillId="0" borderId="9" xfId="0" applyFont="1" applyBorder="1" applyAlignment="1">
      <alignment horizontal="left" vertical="top" wrapText="1"/>
    </xf>
    <xf numFmtId="10" fontId="0" fillId="0" borderId="22" xfId="0" applyNumberFormat="1" applyBorder="1" applyAlignment="1">
      <alignment vertical="top" wrapText="1"/>
    </xf>
    <xf numFmtId="10" fontId="0" fillId="0" borderId="7" xfId="0" applyNumberFormat="1" applyBorder="1" applyAlignment="1">
      <alignment vertical="top" wrapText="1"/>
    </xf>
    <xf numFmtId="0" fontId="8" fillId="0" borderId="10" xfId="0" applyFont="1" applyBorder="1" applyAlignment="1">
      <alignment horizontal="left" vertical="top" wrapText="1"/>
    </xf>
    <xf numFmtId="43" fontId="0" fillId="0" borderId="1" xfId="0" applyNumberFormat="1" applyBorder="1" applyAlignment="1">
      <alignment vertical="top" wrapText="1"/>
    </xf>
    <xf numFmtId="0" fontId="11" fillId="0" borderId="9" xfId="0" applyFont="1" applyBorder="1" applyAlignment="1">
      <alignment horizontal="left" vertical="top"/>
    </xf>
    <xf numFmtId="0" fontId="8" fillId="0" borderId="9" xfId="0" applyFont="1" applyBorder="1" applyAlignment="1">
      <alignment horizontal="right" vertical="top" wrapText="1"/>
    </xf>
    <xf numFmtId="0" fontId="8" fillId="0" borderId="10" xfId="0" applyFont="1" applyBorder="1" applyAlignment="1">
      <alignment horizontal="right" vertical="top" wrapText="1"/>
    </xf>
    <xf numFmtId="10" fontId="0" fillId="0" borderId="21" xfId="0" applyNumberFormat="1" applyBorder="1" applyAlignment="1">
      <alignment vertical="top" wrapText="1"/>
    </xf>
    <xf numFmtId="43" fontId="9" fillId="0" borderId="11" xfId="0" applyNumberFormat="1" applyFont="1" applyBorder="1" applyAlignment="1">
      <alignment vertical="top" wrapText="1"/>
    </xf>
    <xf numFmtId="10" fontId="9" fillId="0" borderId="7" xfId="0" applyNumberFormat="1" applyFont="1" applyBorder="1" applyAlignment="1">
      <alignment vertical="top" wrapText="1"/>
    </xf>
    <xf numFmtId="43" fontId="9" fillId="0" borderId="1" xfId="0" applyNumberFormat="1" applyFont="1" applyBorder="1" applyAlignment="1">
      <alignment vertical="top" wrapText="1"/>
    </xf>
    <xf numFmtId="0" fontId="0" fillId="0" borderId="48" xfId="0" applyBorder="1"/>
    <xf numFmtId="174" fontId="0" fillId="0" borderId="31" xfId="5" applyNumberFormat="1" applyFont="1" applyBorder="1" applyAlignment="1">
      <alignment horizontal="center"/>
    </xf>
    <xf numFmtId="174" fontId="0" fillId="0" borderId="48" xfId="0" applyNumberFormat="1" applyBorder="1"/>
    <xf numFmtId="165" fontId="29" fillId="4" borderId="45" xfId="0" applyNumberFormat="1" applyFont="1" applyFill="1" applyBorder="1" applyAlignment="1">
      <alignment horizontal="center"/>
    </xf>
    <xf numFmtId="165" fontId="29" fillId="4" borderId="3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166" fontId="9" fillId="6" borderId="48" xfId="5" applyFont="1" applyFill="1" applyBorder="1"/>
    <xf numFmtId="166" fontId="9" fillId="6" borderId="31" xfId="5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top" wrapText="1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43" fontId="10" fillId="0" borderId="0" xfId="0" applyNumberFormat="1" applyFont="1" applyAlignment="1">
      <alignment vertical="top" wrapText="1"/>
    </xf>
    <xf numFmtId="0" fontId="0" fillId="6" borderId="49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9" fillId="13" borderId="4" xfId="0" applyFont="1" applyFill="1" applyBorder="1" applyAlignment="1">
      <alignment horizontal="center" vertical="center" wrapText="1"/>
    </xf>
    <xf numFmtId="176" fontId="0" fillId="0" borderId="13" xfId="0" applyNumberFormat="1" applyBorder="1" applyAlignment="1">
      <alignment horizontal="center"/>
    </xf>
    <xf numFmtId="176" fontId="9" fillId="6" borderId="16" xfId="5" applyNumberFormat="1" applyFont="1" applyFill="1" applyBorder="1" applyAlignment="1">
      <alignment horizontal="center"/>
    </xf>
    <xf numFmtId="176" fontId="0" fillId="0" borderId="15" xfId="0" applyNumberFormat="1" applyBorder="1" applyAlignment="1">
      <alignment horizontal="center"/>
    </xf>
    <xf numFmtId="176" fontId="9" fillId="6" borderId="17" xfId="5" applyNumberFormat="1" applyFont="1" applyFill="1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176" fontId="9" fillId="6" borderId="20" xfId="5" applyNumberFormat="1" applyFont="1" applyFill="1" applyBorder="1" applyAlignment="1">
      <alignment horizontal="center"/>
    </xf>
    <xf numFmtId="176" fontId="6" fillId="0" borderId="16" xfId="5" applyNumberFormat="1" applyFont="1" applyBorder="1"/>
    <xf numFmtId="176" fontId="6" fillId="0" borderId="17" xfId="5" applyNumberFormat="1" applyFont="1" applyBorder="1"/>
    <xf numFmtId="0" fontId="24" fillId="0" borderId="0" xfId="0" applyFont="1"/>
    <xf numFmtId="4" fontId="25" fillId="15" borderId="26" xfId="0" applyNumberFormat="1" applyFont="1" applyFill="1" applyBorder="1"/>
    <xf numFmtId="4" fontId="25" fillId="15" borderId="27" xfId="0" applyNumberFormat="1" applyFont="1" applyFill="1" applyBorder="1"/>
    <xf numFmtId="4" fontId="25" fillId="15" borderId="26" xfId="0" applyNumberFormat="1" applyFont="1" applyFill="1" applyBorder="1" applyAlignment="1">
      <alignment horizontal="center"/>
    </xf>
    <xf numFmtId="4" fontId="25" fillId="15" borderId="35" xfId="0" applyNumberFormat="1" applyFont="1" applyFill="1" applyBorder="1" applyAlignment="1">
      <alignment horizontal="center"/>
    </xf>
    <xf numFmtId="4" fontId="25" fillId="15" borderId="35" xfId="0" applyNumberFormat="1" applyFont="1" applyFill="1" applyBorder="1"/>
    <xf numFmtId="4" fontId="25" fillId="15" borderId="36" xfId="0" applyNumberFormat="1" applyFont="1" applyFill="1" applyBorder="1"/>
    <xf numFmtId="4" fontId="25" fillId="15" borderId="26" xfId="0" applyNumberFormat="1" applyFont="1" applyFill="1" applyBorder="1" applyAlignment="1">
      <alignment horizontal="right"/>
    </xf>
    <xf numFmtId="4" fontId="25" fillId="15" borderId="27" xfId="0" applyNumberFormat="1" applyFont="1" applyFill="1" applyBorder="1" applyAlignment="1">
      <alignment horizontal="right"/>
    </xf>
    <xf numFmtId="1" fontId="0" fillId="0" borderId="9" xfId="0" applyNumberFormat="1" applyBorder="1" applyAlignment="1">
      <alignment horizontal="center" vertical="center"/>
    </xf>
    <xf numFmtId="43" fontId="6" fillId="0" borderId="0" xfId="2" applyFont="1" applyBorder="1"/>
    <xf numFmtId="167" fontId="6" fillId="0" borderId="0" xfId="2" applyNumberFormat="1" applyFont="1" applyBorder="1"/>
    <xf numFmtId="2" fontId="0" fillId="0" borderId="2" xfId="0" applyNumberFormat="1" applyBorder="1" applyAlignment="1">
      <alignment vertical="top" wrapText="1"/>
    </xf>
    <xf numFmtId="0" fontId="0" fillId="0" borderId="60" xfId="0" applyBorder="1"/>
    <xf numFmtId="0" fontId="0" fillId="0" borderId="61" xfId="0" applyBorder="1"/>
    <xf numFmtId="175" fontId="0" fillId="0" borderId="61" xfId="0" applyNumberFormat="1" applyBorder="1" applyAlignment="1">
      <alignment horizontal="center"/>
    </xf>
    <xf numFmtId="1" fontId="0" fillId="0" borderId="61" xfId="0" applyNumberFormat="1" applyBorder="1" applyAlignment="1">
      <alignment horizontal="center"/>
    </xf>
    <xf numFmtId="166" fontId="6" fillId="0" borderId="61" xfId="5" applyFont="1" applyBorder="1"/>
    <xf numFmtId="166" fontId="9" fillId="6" borderId="61" xfId="5" applyFont="1" applyFill="1" applyBorder="1"/>
    <xf numFmtId="166" fontId="9" fillId="0" borderId="61" xfId="5" applyFont="1" applyFill="1" applyBorder="1" applyAlignment="1"/>
    <xf numFmtId="166" fontId="9" fillId="0" borderId="61" xfId="5" applyFont="1" applyFill="1" applyBorder="1"/>
    <xf numFmtId="166" fontId="9" fillId="7" borderId="62" xfId="5" applyFont="1" applyFill="1" applyBorder="1"/>
    <xf numFmtId="0" fontId="0" fillId="0" borderId="1" xfId="0" applyBorder="1"/>
    <xf numFmtId="17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6" fontId="6" fillId="0" borderId="1" xfId="5" applyFont="1" applyBorder="1"/>
    <xf numFmtId="166" fontId="9" fillId="6" borderId="1" xfId="5" applyFont="1" applyFill="1" applyBorder="1"/>
    <xf numFmtId="166" fontId="9" fillId="0" borderId="1" xfId="5" applyFont="1" applyFill="1" applyBorder="1" applyAlignment="1"/>
    <xf numFmtId="166" fontId="9" fillId="0" borderId="1" xfId="5" applyFont="1" applyFill="1" applyBorder="1"/>
    <xf numFmtId="166" fontId="9" fillId="7" borderId="7" xfId="5" applyFont="1" applyFill="1" applyBorder="1"/>
    <xf numFmtId="166" fontId="0" fillId="0" borderId="61" xfId="5" applyFont="1" applyBorder="1"/>
    <xf numFmtId="166" fontId="0" fillId="0" borderId="1" xfId="5" applyFont="1" applyFill="1" applyBorder="1"/>
    <xf numFmtId="173" fontId="0" fillId="0" borderId="0" xfId="0" applyNumberFormat="1" applyAlignment="1">
      <alignment horizontal="center"/>
    </xf>
    <xf numFmtId="0" fontId="0" fillId="0" borderId="63" xfId="0" applyBorder="1"/>
    <xf numFmtId="176" fontId="0" fillId="0" borderId="64" xfId="0" applyNumberFormat="1" applyBorder="1" applyAlignment="1">
      <alignment horizontal="center"/>
    </xf>
    <xf numFmtId="176" fontId="6" fillId="0" borderId="65" xfId="5" applyNumberFormat="1" applyFont="1" applyBorder="1"/>
    <xf numFmtId="168" fontId="9" fillId="9" borderId="3" xfId="0" applyNumberFormat="1" applyFont="1" applyFill="1" applyBorder="1" applyAlignment="1">
      <alignment horizontal="center" vertical="top" wrapText="1"/>
    </xf>
    <xf numFmtId="176" fontId="0" fillId="0" borderId="66" xfId="0" applyNumberFormat="1" applyBorder="1" applyAlignment="1">
      <alignment horizontal="center"/>
    </xf>
    <xf numFmtId="176" fontId="6" fillId="0" borderId="67" xfId="5" applyNumberFormat="1" applyFont="1" applyBorder="1"/>
    <xf numFmtId="43" fontId="31" fillId="0" borderId="4" xfId="2" applyFont="1" applyBorder="1" applyAlignment="1">
      <alignment vertical="top" wrapText="1"/>
    </xf>
    <xf numFmtId="43" fontId="3" fillId="0" borderId="0" xfId="2" applyFont="1" applyAlignment="1">
      <alignment vertical="top" wrapText="1"/>
    </xf>
    <xf numFmtId="43" fontId="29" fillId="0" borderId="0" xfId="0" applyNumberFormat="1" applyFont="1" applyAlignment="1">
      <alignment vertical="top" wrapText="1"/>
    </xf>
    <xf numFmtId="43" fontId="1" fillId="0" borderId="0" xfId="2" applyFont="1" applyAlignment="1">
      <alignment horizontal="right" vertical="top" wrapText="1"/>
    </xf>
    <xf numFmtId="0" fontId="11" fillId="16" borderId="0" xfId="0" applyFont="1" applyFill="1" applyAlignment="1">
      <alignment vertical="top"/>
    </xf>
    <xf numFmtId="43" fontId="11" fillId="16" borderId="0" xfId="0" applyNumberFormat="1" applyFont="1" applyFill="1"/>
    <xf numFmtId="0" fontId="11" fillId="16" borderId="0" xfId="0" applyFont="1" applyFill="1" applyAlignment="1">
      <alignment vertical="top" wrapText="1"/>
    </xf>
    <xf numFmtId="43" fontId="29" fillId="16" borderId="0" xfId="0" applyNumberFormat="1" applyFont="1" applyFill="1" applyAlignment="1">
      <alignment vertical="top" wrapText="1"/>
    </xf>
    <xf numFmtId="44" fontId="0" fillId="0" borderId="0" xfId="0" applyNumberFormat="1"/>
    <xf numFmtId="1" fontId="0" fillId="0" borderId="0" xfId="0" applyNumberFormat="1" applyAlignment="1">
      <alignment horizontal="center" vertical="center"/>
    </xf>
    <xf numFmtId="177" fontId="0" fillId="0" borderId="0" xfId="0" applyNumberFormat="1"/>
    <xf numFmtId="178" fontId="9" fillId="6" borderId="45" xfId="5" applyNumberFormat="1" applyFont="1" applyFill="1" applyBorder="1"/>
    <xf numFmtId="178" fontId="9" fillId="6" borderId="31" xfId="5" applyNumberFormat="1" applyFont="1" applyFill="1" applyBorder="1"/>
    <xf numFmtId="9" fontId="6" fillId="0" borderId="13" xfId="4" applyFont="1" applyBorder="1" applyAlignment="1">
      <alignment horizontal="center"/>
    </xf>
    <xf numFmtId="9" fontId="6" fillId="0" borderId="16" xfId="4" applyFont="1" applyBorder="1" applyAlignment="1">
      <alignment horizontal="center"/>
    </xf>
    <xf numFmtId="0" fontId="26" fillId="6" borderId="23" xfId="0" applyFont="1" applyFill="1" applyBorder="1" applyAlignment="1">
      <alignment horizontal="center" vertical="center"/>
    </xf>
    <xf numFmtId="0" fontId="26" fillId="6" borderId="11" xfId="0" applyFont="1" applyFill="1" applyBorder="1" applyAlignment="1">
      <alignment horizontal="center" vertical="center"/>
    </xf>
    <xf numFmtId="0" fontId="26" fillId="6" borderId="2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 wrapText="1"/>
    </xf>
    <xf numFmtId="0" fontId="1" fillId="0" borderId="12" xfId="3" applyFont="1" applyBorder="1" applyAlignment="1">
      <alignment horizontal="left"/>
    </xf>
    <xf numFmtId="0" fontId="1" fillId="0" borderId="13" xfId="3" applyFont="1" applyBorder="1" applyAlignment="1">
      <alignment horizontal="left"/>
    </xf>
    <xf numFmtId="0" fontId="28" fillId="9" borderId="23" xfId="0" applyFont="1" applyFill="1" applyBorder="1" applyAlignment="1">
      <alignment horizontal="center" vertical="center"/>
    </xf>
    <xf numFmtId="0" fontId="28" fillId="9" borderId="11" xfId="0" applyFont="1" applyFill="1" applyBorder="1" applyAlignment="1">
      <alignment horizontal="center" vertical="center"/>
    </xf>
    <xf numFmtId="0" fontId="28" fillId="9" borderId="24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14" xfId="3" applyFont="1" applyBorder="1" applyAlignment="1">
      <alignment horizontal="left"/>
    </xf>
    <xf numFmtId="0" fontId="1" fillId="0" borderId="15" xfId="3" applyFont="1" applyBorder="1" applyAlignment="1">
      <alignment horizontal="left"/>
    </xf>
    <xf numFmtId="0" fontId="1" fillId="0" borderId="18" xfId="3" applyFont="1" applyBorder="1" applyAlignment="1">
      <alignment horizontal="left"/>
    </xf>
    <xf numFmtId="0" fontId="1" fillId="0" borderId="19" xfId="3" applyFont="1" applyBorder="1" applyAlignment="1">
      <alignment horizontal="left"/>
    </xf>
    <xf numFmtId="9" fontId="6" fillId="0" borderId="19" xfId="4" applyFont="1" applyBorder="1" applyAlignment="1">
      <alignment horizontal="center"/>
    </xf>
    <xf numFmtId="9" fontId="6" fillId="0" borderId="20" xfId="4" applyFont="1" applyBorder="1" applyAlignment="1">
      <alignment horizontal="center"/>
    </xf>
    <xf numFmtId="9" fontId="6" fillId="0" borderId="15" xfId="4" applyFont="1" applyBorder="1" applyAlignment="1">
      <alignment horizontal="center"/>
    </xf>
    <xf numFmtId="9" fontId="6" fillId="0" borderId="17" xfId="4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9" fillId="6" borderId="23" xfId="0" applyFont="1" applyFill="1" applyBorder="1" applyAlignment="1">
      <alignment horizontal="center" vertical="top"/>
    </xf>
    <xf numFmtId="0" fontId="9" fillId="6" borderId="11" xfId="0" applyFont="1" applyFill="1" applyBorder="1" applyAlignment="1">
      <alignment horizontal="center" vertical="top"/>
    </xf>
    <xf numFmtId="0" fontId="9" fillId="6" borderId="24" xfId="0" applyFont="1" applyFill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9" fillId="5" borderId="23" xfId="0" applyFont="1" applyFill="1" applyBorder="1" applyAlignment="1">
      <alignment horizontal="center" vertical="top"/>
    </xf>
    <xf numFmtId="0" fontId="9" fillId="5" borderId="11" xfId="0" applyFont="1" applyFill="1" applyBorder="1" applyAlignment="1">
      <alignment horizontal="center" vertical="top"/>
    </xf>
    <xf numFmtId="0" fontId="9" fillId="5" borderId="24" xfId="0" applyFont="1" applyFill="1" applyBorder="1" applyAlignment="1">
      <alignment horizontal="center" vertical="top"/>
    </xf>
    <xf numFmtId="0" fontId="3" fillId="14" borderId="23" xfId="0" applyFont="1" applyFill="1" applyBorder="1" applyAlignment="1">
      <alignment horizontal="center" vertical="top"/>
    </xf>
    <xf numFmtId="0" fontId="9" fillId="14" borderId="11" xfId="0" applyFont="1" applyFill="1" applyBorder="1" applyAlignment="1">
      <alignment horizontal="center" vertical="top"/>
    </xf>
    <xf numFmtId="0" fontId="9" fillId="14" borderId="24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22" xfId="0" applyFont="1" applyBorder="1" applyAlignment="1">
      <alignment horizontal="center" vertical="top" wrapText="1"/>
    </xf>
    <xf numFmtId="0" fontId="29" fillId="0" borderId="8" xfId="0" applyFont="1" applyBorder="1" applyAlignment="1">
      <alignment horizontal="center" vertical="top" wrapText="1"/>
    </xf>
    <xf numFmtId="0" fontId="29" fillId="0" borderId="6" xfId="0" applyFont="1" applyBorder="1" applyAlignment="1">
      <alignment horizontal="center" vertical="top" wrapText="1"/>
    </xf>
    <xf numFmtId="0" fontId="29" fillId="0" borderId="21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22" xfId="0" applyFont="1" applyBorder="1" applyAlignment="1">
      <alignment horizontal="center" vertical="top"/>
    </xf>
    <xf numFmtId="0" fontId="25" fillId="0" borderId="2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9" fillId="5" borderId="23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24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6" borderId="23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24" xfId="0" applyFont="1" applyFill="1" applyBorder="1" applyAlignment="1">
      <alignment horizontal="center"/>
    </xf>
    <xf numFmtId="0" fontId="26" fillId="10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"/>
    </xf>
    <xf numFmtId="0" fontId="9" fillId="2" borderId="52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54" xfId="0" applyFont="1" applyFill="1" applyBorder="1" applyAlignment="1">
      <alignment horizontal="center" vertical="center" wrapText="1"/>
    </xf>
    <xf numFmtId="0" fontId="25" fillId="5" borderId="55" xfId="0" applyFont="1" applyFill="1" applyBorder="1" applyAlignment="1">
      <alignment horizontal="right"/>
    </xf>
    <xf numFmtId="0" fontId="25" fillId="5" borderId="35" xfId="0" quotePrefix="1" applyFont="1" applyFill="1" applyBorder="1" applyAlignment="1">
      <alignment horizontal="right"/>
    </xf>
    <xf numFmtId="0" fontId="0" fillId="6" borderId="56" xfId="0" applyFill="1" applyBorder="1" applyAlignment="1">
      <alignment horizontal="center" vertical="center" textRotation="90" wrapText="1"/>
    </xf>
    <xf numFmtId="0" fontId="0" fillId="6" borderId="57" xfId="0" applyFill="1" applyBorder="1" applyAlignment="1">
      <alignment horizontal="center" vertical="center" textRotation="90" wrapText="1"/>
    </xf>
    <xf numFmtId="0" fontId="0" fillId="6" borderId="58" xfId="0" applyFill="1" applyBorder="1" applyAlignment="1">
      <alignment horizontal="center" vertical="center" textRotation="90" wrapText="1"/>
    </xf>
    <xf numFmtId="0" fontId="9" fillId="2" borderId="52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9" fillId="2" borderId="54" xfId="0" applyFont="1" applyFill="1" applyBorder="1" applyAlignment="1">
      <alignment horizontal="center" vertical="center"/>
    </xf>
    <xf numFmtId="0" fontId="25" fillId="5" borderId="59" xfId="0" applyFont="1" applyFill="1" applyBorder="1" applyAlignment="1">
      <alignment horizontal="right"/>
    </xf>
    <xf numFmtId="0" fontId="25" fillId="5" borderId="26" xfId="0" quotePrefix="1" applyFont="1" applyFill="1" applyBorder="1" applyAlignment="1">
      <alignment horizontal="right"/>
    </xf>
  </cellXfs>
  <cellStyles count="6">
    <cellStyle name="Euro" xfId="1" xr:uid="{00000000-0005-0000-0000-000000000000}"/>
    <cellStyle name="Migliaia" xfId="2" builtinId="3"/>
    <cellStyle name="Normale" xfId="0" builtinId="0"/>
    <cellStyle name="Normale_Foglio1" xfId="3" xr:uid="{00000000-0005-0000-0000-000003000000}"/>
    <cellStyle name="Percentuale" xfId="4" builtinId="5"/>
    <cellStyle name="Valuta" xfId="5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FF0000"/>
                </a:solidFill>
                <a:latin typeface="Calibri"/>
                <a:ea typeface="Calibri"/>
                <a:cs typeface="Calibri"/>
              </a:defRPr>
            </a:pPr>
            <a:r>
              <a:rPr lang="it-IT"/>
              <a:t>Articolazione della TARI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90927025976614E-2"/>
          <c:y val="0.33539162043390808"/>
          <c:w val="0.81616322633212268"/>
          <c:h val="0.51851956042542846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33CC33"/>
              </a:solidFill>
            </c:spPr>
            <c:extLst>
              <c:ext xmlns:c16="http://schemas.microsoft.com/office/drawing/2014/chart" uri="{C3380CC4-5D6E-409C-BE32-E72D297353CC}">
                <c16:uniqueId val="{00000000-D4DC-4233-9EFC-8039F746B709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1-D4DC-4233-9EFC-8039F746B709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2-D4DC-4233-9EFC-8039F746B709}"/>
              </c:ext>
            </c:extLst>
          </c:dPt>
          <c:dPt>
            <c:idx val="3"/>
            <c:bubble3D val="0"/>
            <c:spPr>
              <a:solidFill>
                <a:srgbClr val="FF9933"/>
              </a:solidFill>
            </c:spPr>
            <c:extLst>
              <c:ext xmlns:c16="http://schemas.microsoft.com/office/drawing/2014/chart" uri="{C3380CC4-5D6E-409C-BE32-E72D297353CC}">
                <c16:uniqueId val="{00000003-D4DC-4233-9EFC-8039F746B709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sintesi!$A$7:$A$10</c:f>
              <c:strCache>
                <c:ptCount val="4"/>
                <c:pt idx="0">
                  <c:v>UD copertura costi fissi</c:v>
                </c:pt>
                <c:pt idx="1">
                  <c:v>UD copertura costi variabili</c:v>
                </c:pt>
                <c:pt idx="2">
                  <c:v>UND copertura costi fissi</c:v>
                </c:pt>
                <c:pt idx="3">
                  <c:v>UND copertura costi variabili</c:v>
                </c:pt>
              </c:strCache>
            </c:strRef>
          </c:cat>
          <c:val>
            <c:numRef>
              <c:f>sintesi!$B$7:$B$10</c:f>
              <c:numCache>
                <c:formatCode>_(* #,##0.00_);_(* \(#,##0.00\);_(* "-"??_);_(@_)</c:formatCode>
                <c:ptCount val="4"/>
                <c:pt idx="0">
                  <c:v>79612.800000000003</c:v>
                </c:pt>
                <c:pt idx="1">
                  <c:v>91269.60000000002</c:v>
                </c:pt>
                <c:pt idx="2">
                  <c:v>19903.199999999993</c:v>
                </c:pt>
                <c:pt idx="3">
                  <c:v>22817.399999999998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DC-4233-9EFC-8039F746B70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8383874652530507"/>
          <c:y val="0.1028808651637754"/>
          <c:w val="0.63232447980681783"/>
          <c:h val="9.0535161344122622E-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977" l="0.70000000000000062" r="0.70000000000000062" t="0.75000000000000977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0</xdr:row>
      <xdr:rowOff>95250</xdr:rowOff>
    </xdr:from>
    <xdr:to>
      <xdr:col>9</xdr:col>
      <xdr:colOff>104775</xdr:colOff>
      <xdr:row>22</xdr:row>
      <xdr:rowOff>9525</xdr:rowOff>
    </xdr:to>
    <xdr:graphicFrame macro="">
      <xdr:nvGraphicFramePr>
        <xdr:cNvPr id="2049" name="Grafico 7">
          <a:extLst>
            <a:ext uri="{FF2B5EF4-FFF2-40B4-BE49-F238E27FC236}">
              <a16:creationId xmlns:a16="http://schemas.microsoft.com/office/drawing/2014/main" id="{00000000-0008-0000-04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9"/>
  <sheetViews>
    <sheetView tabSelected="1" zoomScale="85" zoomScaleNormal="85" workbookViewId="0">
      <selection activeCell="O31" sqref="O31"/>
    </sheetView>
  </sheetViews>
  <sheetFormatPr defaultRowHeight="15" x14ac:dyDescent="0.25"/>
  <cols>
    <col min="1" max="1" width="61.42578125" customWidth="1"/>
    <col min="2" max="3" width="16.7109375" customWidth="1"/>
    <col min="4" max="4" width="16.85546875" customWidth="1"/>
    <col min="5" max="5" width="2.140625" customWidth="1"/>
    <col min="6" max="6" width="25.5703125" customWidth="1"/>
    <col min="7" max="7" width="3.85546875" customWidth="1"/>
    <col min="8" max="10" width="13.5703125" customWidth="1"/>
  </cols>
  <sheetData>
    <row r="1" spans="1:10" ht="24.95" customHeight="1" x14ac:dyDescent="0.25">
      <c r="A1" s="408" t="s">
        <v>265</v>
      </c>
      <c r="B1" s="409"/>
      <c r="C1" s="409"/>
      <c r="D1" s="409"/>
      <c r="E1" s="409"/>
      <c r="F1" s="410"/>
    </row>
    <row r="3" spans="1:10" s="189" customFormat="1" ht="24.95" customHeight="1" x14ac:dyDescent="0.25">
      <c r="A3" s="411" t="s">
        <v>221</v>
      </c>
      <c r="B3" s="412"/>
      <c r="C3" s="412"/>
      <c r="D3" s="412"/>
      <c r="E3" s="412"/>
      <c r="F3" s="413"/>
      <c r="H3" s="411">
        <v>2024</v>
      </c>
      <c r="I3" s="412"/>
    </row>
    <row r="4" spans="1:10" ht="6" customHeight="1" x14ac:dyDescent="0.25">
      <c r="A4" s="12"/>
      <c r="B4" s="12"/>
      <c r="C4" s="12"/>
    </row>
    <row r="5" spans="1:10" ht="45" x14ac:dyDescent="0.25">
      <c r="B5" s="187" t="s">
        <v>222</v>
      </c>
      <c r="C5" s="187" t="s">
        <v>223</v>
      </c>
      <c r="H5" s="187" t="s">
        <v>222</v>
      </c>
      <c r="I5" s="187" t="s">
        <v>223</v>
      </c>
    </row>
    <row r="6" spans="1:10" x14ac:dyDescent="0.25">
      <c r="A6" s="197" t="s">
        <v>87</v>
      </c>
      <c r="B6" s="340">
        <f>UtenzeDomestiche!M14</f>
        <v>0.61606438194496504</v>
      </c>
      <c r="C6" s="346">
        <f>UtenzeDomestiche!M30</f>
        <v>71.455398169502203</v>
      </c>
      <c r="H6" s="340">
        <v>0.64</v>
      </c>
      <c r="I6" s="346">
        <v>70.040000000000006</v>
      </c>
    </row>
    <row r="7" spans="1:10" x14ac:dyDescent="0.25">
      <c r="A7" s="160" t="s">
        <v>88</v>
      </c>
      <c r="B7" s="342">
        <f>UtenzeDomestiche!M15</f>
        <v>0.7187417789357925</v>
      </c>
      <c r="C7" s="347">
        <f>UtenzeDomestiche!M31</f>
        <v>127.09938908447624</v>
      </c>
      <c r="H7" s="342">
        <v>0.75</v>
      </c>
      <c r="I7" s="347">
        <v>124.43</v>
      </c>
    </row>
    <row r="8" spans="1:10" x14ac:dyDescent="0.25">
      <c r="A8" s="160" t="s">
        <v>89</v>
      </c>
      <c r="B8" s="342">
        <f>UtenzeDomestiche!M16</f>
        <v>0.79208277678638361</v>
      </c>
      <c r="C8" s="347">
        <f>UtenzeDomestiche!M32</f>
        <v>156.59374492465378</v>
      </c>
      <c r="H8" s="342">
        <v>0.83</v>
      </c>
      <c r="I8" s="347">
        <v>153.47999999999999</v>
      </c>
    </row>
    <row r="9" spans="1:10" x14ac:dyDescent="0.25">
      <c r="A9" s="160" t="s">
        <v>90</v>
      </c>
      <c r="B9" s="342">
        <f>UtenzeDomestiche!M17</f>
        <v>0.85075557506685628</v>
      </c>
      <c r="C9" s="347">
        <f>UtenzeDomestiche!M33</f>
        <v>187.91249390958455</v>
      </c>
      <c r="H9" s="342">
        <v>0.89</v>
      </c>
      <c r="I9" s="347">
        <v>184.03</v>
      </c>
    </row>
    <row r="10" spans="1:10" x14ac:dyDescent="0.25">
      <c r="A10" s="160" t="s">
        <v>91</v>
      </c>
      <c r="B10" s="342">
        <f>UtenzeDomestiche!M18</f>
        <v>0.90942837334732929</v>
      </c>
      <c r="C10" s="347">
        <f>UtenzeDomestiche!M34</f>
        <v>229.49345433375228</v>
      </c>
      <c r="H10" s="342">
        <v>0.95</v>
      </c>
      <c r="I10" s="347">
        <v>225.01</v>
      </c>
    </row>
    <row r="11" spans="1:10" x14ac:dyDescent="0.25">
      <c r="A11" s="381" t="s">
        <v>92</v>
      </c>
      <c r="B11" s="382">
        <f>UtenzeDomestiche!M19</f>
        <v>0.95343297205768385</v>
      </c>
      <c r="C11" s="383">
        <f>UtenzeDomestiche!M35</f>
        <v>258.45569550671007</v>
      </c>
      <c r="H11" s="382">
        <v>1</v>
      </c>
      <c r="I11" s="383">
        <v>253.32</v>
      </c>
    </row>
    <row r="12" spans="1:10" ht="15" customHeight="1" x14ac:dyDescent="0.25">
      <c r="A12" s="370" t="s">
        <v>201</v>
      </c>
      <c r="B12" s="385">
        <f>UtenzeDomestiche!M20</f>
        <v>0</v>
      </c>
      <c r="C12" s="386">
        <f>UtenzeDomestiche!M36</f>
        <v>0</v>
      </c>
      <c r="H12" s="385">
        <v>0</v>
      </c>
      <c r="I12" s="386">
        <v>0</v>
      </c>
    </row>
    <row r="13" spans="1:10" x14ac:dyDescent="0.25">
      <c r="A13" s="7"/>
      <c r="B13" s="384" t="s">
        <v>211</v>
      </c>
      <c r="C13" s="417" t="s">
        <v>227</v>
      </c>
      <c r="D13" s="418"/>
      <c r="E13" s="418"/>
      <c r="F13" s="418"/>
    </row>
    <row r="14" spans="1:10" x14ac:dyDescent="0.25">
      <c r="A14" s="7" t="s">
        <v>210</v>
      </c>
      <c r="B14" s="169"/>
      <c r="C14" s="417"/>
      <c r="D14" s="418"/>
      <c r="E14" s="418"/>
      <c r="F14" s="418"/>
    </row>
    <row r="15" spans="1:10" ht="8.25" customHeight="1" x14ac:dyDescent="0.25"/>
    <row r="16" spans="1:10" s="189" customFormat="1" ht="24.95" customHeight="1" x14ac:dyDescent="0.25">
      <c r="A16" s="402" t="s">
        <v>224</v>
      </c>
      <c r="B16" s="403"/>
      <c r="C16" s="403"/>
      <c r="D16" s="403"/>
      <c r="E16" s="403"/>
      <c r="F16" s="404"/>
      <c r="H16" s="402">
        <v>2024</v>
      </c>
      <c r="I16" s="403"/>
      <c r="J16" s="403"/>
    </row>
    <row r="17" spans="1:15" ht="6" customHeight="1" x14ac:dyDescent="0.25">
      <c r="A17" s="188"/>
      <c r="B17" s="188"/>
      <c r="C17" s="188"/>
    </row>
    <row r="18" spans="1:15" ht="38.25" customHeight="1" x14ac:dyDescent="0.25">
      <c r="B18" s="187" t="s">
        <v>222</v>
      </c>
      <c r="C18" s="187" t="s">
        <v>225</v>
      </c>
      <c r="D18" s="187" t="s">
        <v>226</v>
      </c>
      <c r="F18" s="183" t="s">
        <v>219</v>
      </c>
      <c r="H18" s="325" t="s">
        <v>146</v>
      </c>
      <c r="I18" s="325" t="s">
        <v>151</v>
      </c>
      <c r="J18" s="326" t="s">
        <v>155</v>
      </c>
    </row>
    <row r="19" spans="1:15" x14ac:dyDescent="0.25">
      <c r="A19" s="197" t="str">
        <f>'DATI INPUT'!A48</f>
        <v>01 - Musei, biblioteche, scuole, associazioni, luoghi di culto</v>
      </c>
      <c r="B19" s="340">
        <f>UtenzeNonDomestiche!G93</f>
        <v>0.68526948703694168</v>
      </c>
      <c r="C19" s="340">
        <f>UtenzeNonDomestiche!H93</f>
        <v>0.7886380219013065</v>
      </c>
      <c r="D19" s="341">
        <f>UtenzeNonDomestiche!I93</f>
        <v>1.4739075089382481</v>
      </c>
      <c r="F19" s="414" t="s">
        <v>51</v>
      </c>
      <c r="H19" s="297">
        <v>0.7</v>
      </c>
      <c r="I19" s="297">
        <v>0.78</v>
      </c>
      <c r="J19" s="398">
        <f>H19+I19</f>
        <v>1.48</v>
      </c>
    </row>
    <row r="20" spans="1:15" x14ac:dyDescent="0.25">
      <c r="A20" s="160" t="str">
        <f>'DATI INPUT'!A49</f>
        <v>02 - Campeggi, distributori carburanti, impianti sportivi</v>
      </c>
      <c r="B20" s="342">
        <f>UtenzeNonDomestiche!G94</f>
        <v>1.0749325286853988</v>
      </c>
      <c r="C20" s="342">
        <f>UtenzeNonDomestiche!H94</f>
        <v>1.2298997722508469</v>
      </c>
      <c r="D20" s="343">
        <f>UtenzeNonDomestiche!I94</f>
        <v>2.3048323009362459</v>
      </c>
      <c r="F20" s="415"/>
      <c r="H20" s="298">
        <v>1.1000000000000001</v>
      </c>
      <c r="I20" s="298">
        <v>1.22</v>
      </c>
      <c r="J20" s="399">
        <f t="shared" ref="J20:J39" si="0">H20+I20</f>
        <v>2.3200000000000003</v>
      </c>
    </row>
    <row r="21" spans="1:15" x14ac:dyDescent="0.25">
      <c r="A21" s="160" t="str">
        <f>'DATI INPUT'!A50</f>
        <v>03 - Stabilimenti balneari</v>
      </c>
      <c r="B21" s="342">
        <f>UtenzeNonDomestiche!G95</f>
        <v>0.84650936633975149</v>
      </c>
      <c r="C21" s="342">
        <f>UtenzeNonDomestiche!H95</f>
        <v>0.97640897949685579</v>
      </c>
      <c r="D21" s="343">
        <f>UtenzeNonDomestiche!I95</f>
        <v>1.8229183458366074</v>
      </c>
      <c r="F21" s="416"/>
      <c r="H21" s="298">
        <v>0.87</v>
      </c>
      <c r="I21" s="298">
        <v>0.97</v>
      </c>
      <c r="J21" s="399">
        <f t="shared" si="0"/>
        <v>1.8399999999999999</v>
      </c>
    </row>
    <row r="22" spans="1:15" x14ac:dyDescent="0.25">
      <c r="A22" s="160" t="str">
        <f>'DATI INPUT'!A51</f>
        <v>04 - Esposizioni, autosaloni</v>
      </c>
      <c r="B22" s="342">
        <f>UtenzeNonDomestiche!G96</f>
        <v>0.57777623416840185</v>
      </c>
      <c r="C22" s="342">
        <f>UtenzeNonDomestiche!H96</f>
        <v>0.66658689946419958</v>
      </c>
      <c r="D22" s="343">
        <f>UtenzeNonDomestiche!I96</f>
        <v>1.2443631336326013</v>
      </c>
      <c r="F22" s="419" t="s">
        <v>227</v>
      </c>
      <c r="H22" s="298">
        <v>0.59</v>
      </c>
      <c r="I22" s="298">
        <v>0.66</v>
      </c>
      <c r="J22" s="399">
        <f t="shared" si="0"/>
        <v>1.25</v>
      </c>
    </row>
    <row r="23" spans="1:15" x14ac:dyDescent="0.25">
      <c r="A23" s="160" t="str">
        <f>'DATI INPUT'!A52</f>
        <v>05 - Alberghi con ristorante</v>
      </c>
      <c r="B23" s="342">
        <f>UtenzeNonDomestiche!G97</f>
        <v>1.7870753289394752</v>
      </c>
      <c r="C23" s="342">
        <f>UtenzeNonDomestiche!H97</f>
        <v>2.0523365665193523</v>
      </c>
      <c r="D23" s="343">
        <f>UtenzeNonDomestiche!I97</f>
        <v>3.8394118954588272</v>
      </c>
      <c r="F23" s="420"/>
      <c r="H23" s="298">
        <v>1.83</v>
      </c>
      <c r="I23" s="298">
        <v>2.0299999999999998</v>
      </c>
      <c r="J23" s="399">
        <f t="shared" si="0"/>
        <v>3.86</v>
      </c>
    </row>
    <row r="24" spans="1:15" x14ac:dyDescent="0.25">
      <c r="A24" s="160" t="str">
        <f>'DATI INPUT'!A53</f>
        <v>06 - Alberghi senza ristorante</v>
      </c>
      <c r="B24" s="342">
        <f>UtenzeNonDomestiche!G98</f>
        <v>1.2227357513796411</v>
      </c>
      <c r="C24" s="342">
        <f>UtenzeNonDomestiche!H98</f>
        <v>1.4064044723906632</v>
      </c>
      <c r="D24" s="343">
        <f>UtenzeNonDomestiche!I98</f>
        <v>2.6291402237703041</v>
      </c>
      <c r="F24" s="420"/>
      <c r="H24" s="298">
        <v>1.25</v>
      </c>
      <c r="I24" s="298">
        <v>1.39</v>
      </c>
      <c r="J24" s="399">
        <f t="shared" si="0"/>
        <v>2.6399999999999997</v>
      </c>
    </row>
    <row r="25" spans="1:15" x14ac:dyDescent="0.25">
      <c r="A25" s="160" t="str">
        <f>'DATI INPUT'!A54</f>
        <v>07 - Case di cura e riposo</v>
      </c>
      <c r="B25" s="342">
        <f>UtenzeNonDomestiche!G99</f>
        <v>1.3436656608567483</v>
      </c>
      <c r="C25" s="342">
        <f>UtenzeNonDomestiche!H99</f>
        <v>1.5378441427075475</v>
      </c>
      <c r="D25" s="343">
        <f>UtenzeNonDomestiche!I99</f>
        <v>2.8815098035642959</v>
      </c>
      <c r="H25" s="298">
        <v>1.37</v>
      </c>
      <c r="I25" s="298">
        <v>1.52</v>
      </c>
      <c r="J25" s="399">
        <f t="shared" si="0"/>
        <v>2.89</v>
      </c>
    </row>
    <row r="26" spans="1:15" x14ac:dyDescent="0.25">
      <c r="A26" s="160" t="str">
        <f>'DATI INPUT'!A55</f>
        <v>08 - Uffici, agenzie</v>
      </c>
      <c r="B26" s="342">
        <f>UtenzeNonDomestiche!G100</f>
        <v>1.5183421967681254</v>
      </c>
      <c r="C26" s="342">
        <f>UtenzeNonDomestiche!H100</f>
        <v>1.7462699056386073</v>
      </c>
      <c r="D26" s="343">
        <f>UtenzeNonDomestiche!I100</f>
        <v>3.2646121024067325</v>
      </c>
      <c r="H26" s="298">
        <v>1.55</v>
      </c>
      <c r="I26" s="298">
        <v>1.73</v>
      </c>
      <c r="J26" s="399">
        <f t="shared" si="0"/>
        <v>3.2800000000000002</v>
      </c>
    </row>
    <row r="27" spans="1:15" x14ac:dyDescent="0.25">
      <c r="A27" s="160" t="str">
        <f>'DATI INPUT'!A56</f>
        <v>09 - Banche ed istituti di credito, studi professionali</v>
      </c>
      <c r="B27" s="342">
        <f>UtenzeNonDomestiche!G101</f>
        <v>0.77932608329691389</v>
      </c>
      <c r="C27" s="342">
        <f>UtenzeNonDomestiche!H101</f>
        <v>0.8975451773067249</v>
      </c>
      <c r="D27" s="343">
        <f>UtenzeNonDomestiche!I101</f>
        <v>1.6768712606036389</v>
      </c>
      <c r="H27" s="298">
        <v>0.8</v>
      </c>
      <c r="I27" s="298">
        <v>0.89</v>
      </c>
      <c r="J27" s="399">
        <f t="shared" si="0"/>
        <v>1.69</v>
      </c>
    </row>
    <row r="28" spans="1:15" x14ac:dyDescent="0.25">
      <c r="A28" s="160" t="str">
        <f>'DATI INPUT'!A57</f>
        <v>10 - Negozi abbigliamento, calzature, libreria, cartoleria, ferramenta e altri beni durevoli</v>
      </c>
      <c r="B28" s="342">
        <f>UtenzeNonDomestiche!G102</f>
        <v>1.4914688835509908</v>
      </c>
      <c r="C28" s="342">
        <f>UtenzeNonDomestiche!H102</f>
        <v>1.7124711332714082</v>
      </c>
      <c r="D28" s="343">
        <f>UtenzeNonDomestiche!I102</f>
        <v>3.2039400168223988</v>
      </c>
      <c r="H28" s="298">
        <v>1.52</v>
      </c>
      <c r="I28" s="298">
        <v>1.69</v>
      </c>
      <c r="J28" s="399">
        <f t="shared" si="0"/>
        <v>3.21</v>
      </c>
    </row>
    <row r="29" spans="1:15" x14ac:dyDescent="0.25">
      <c r="A29" s="160" t="str">
        <f>'DATI INPUT'!A58</f>
        <v>11 - Edicola, farmacia, tabaccaio, plurilicenze</v>
      </c>
      <c r="B29" s="342">
        <f>UtenzeNonDomestiche!G103</f>
        <v>2.0423718045022574</v>
      </c>
      <c r="C29" s="342">
        <f>UtenzeNonDomestiche!H103</f>
        <v>2.3377484220645868</v>
      </c>
      <c r="D29" s="343">
        <f>UtenzeNonDomestiche!I103</f>
        <v>4.3801202265668442</v>
      </c>
      <c r="H29" s="298">
        <v>2.09</v>
      </c>
      <c r="I29" s="298">
        <v>2.31</v>
      </c>
      <c r="J29" s="399">
        <f t="shared" si="0"/>
        <v>4.4000000000000004</v>
      </c>
    </row>
    <row r="30" spans="1:15" x14ac:dyDescent="0.25">
      <c r="A30" s="160" t="str">
        <f>'DATI INPUT'!A59</f>
        <v>12 - Attività artigianali tipo botteghe: falegname, idraulico, fabbro, elettricista</v>
      </c>
      <c r="B30" s="342">
        <f>UtenzeNonDomestiche!G104</f>
        <v>1.3974122872910184</v>
      </c>
      <c r="C30" s="342">
        <f>UtenzeNonDomestiche!H104</f>
        <v>1.596053139562168</v>
      </c>
      <c r="D30" s="343">
        <f>UtenzeNonDomestiche!I104</f>
        <v>2.9934654268531862</v>
      </c>
      <c r="H30" s="298">
        <v>1.43</v>
      </c>
      <c r="I30" s="298">
        <v>1.58</v>
      </c>
      <c r="J30" s="399">
        <f t="shared" si="0"/>
        <v>3.01</v>
      </c>
    </row>
    <row r="31" spans="1:15" x14ac:dyDescent="0.25">
      <c r="A31" s="160" t="str">
        <f>'DATI INPUT'!A60</f>
        <v>13 - Carrozzeria, autofficina, elettrauto</v>
      </c>
      <c r="B31" s="342">
        <f>UtenzeNonDomestiche!G105</f>
        <v>1.558652166593828</v>
      </c>
      <c r="C31" s="342">
        <f>UtenzeNonDomestiche!H105</f>
        <v>1.7800686780058061</v>
      </c>
      <c r="D31" s="343">
        <f>UtenzeNonDomestiche!I105</f>
        <v>3.3387208445996341</v>
      </c>
      <c r="H31" s="298">
        <v>1.59</v>
      </c>
      <c r="I31" s="298">
        <v>1.76</v>
      </c>
      <c r="J31" s="399">
        <f t="shared" si="0"/>
        <v>3.35</v>
      </c>
      <c r="O31">
        <v>48</v>
      </c>
    </row>
    <row r="32" spans="1:15" x14ac:dyDescent="0.25">
      <c r="A32" s="160" t="str">
        <f>'DATI INPUT'!A61</f>
        <v>14 - Attività industriali con capannoni di produzione</v>
      </c>
      <c r="B32" s="342">
        <f>UtenzeNonDomestiche!G106</f>
        <v>1.2227357513796411</v>
      </c>
      <c r="C32" s="342">
        <f>UtenzeNonDomestiche!H106</f>
        <v>1.4082821819666187</v>
      </c>
      <c r="D32" s="343">
        <f>UtenzeNonDomestiche!I106</f>
        <v>2.6310179333462598</v>
      </c>
      <c r="H32" s="298">
        <v>1.25</v>
      </c>
      <c r="I32" s="298">
        <v>1.39</v>
      </c>
      <c r="J32" s="399">
        <f t="shared" si="0"/>
        <v>2.6399999999999997</v>
      </c>
    </row>
    <row r="33" spans="1:10" x14ac:dyDescent="0.25">
      <c r="A33" s="160" t="str">
        <f>'DATI INPUT'!A62</f>
        <v>15 - Attività artigianali di produzione beni specifici</v>
      </c>
      <c r="B33" s="342">
        <f>UtenzeNonDomestiche!G107</f>
        <v>1.4645955703338558</v>
      </c>
      <c r="C33" s="342">
        <f>UtenzeNonDomestiche!H107</f>
        <v>1.6749169417522984</v>
      </c>
      <c r="D33" s="343">
        <f>UtenzeNonDomestiche!I107</f>
        <v>3.1395125120861542</v>
      </c>
      <c r="H33" s="298">
        <v>1.5</v>
      </c>
      <c r="I33" s="298">
        <v>1.66</v>
      </c>
      <c r="J33" s="399">
        <f>H33+I33</f>
        <v>3.16</v>
      </c>
    </row>
    <row r="34" spans="1:10" x14ac:dyDescent="0.25">
      <c r="A34" s="160" t="str">
        <f>'DATI INPUT'!A63</f>
        <v>16 - Ristoranti, trattorie, osterie, pizzerie, pub</v>
      </c>
      <c r="B34" s="342">
        <f>UtenzeNonDomestiche!G108</f>
        <v>6.5033417985466624</v>
      </c>
      <c r="C34" s="342">
        <f>UtenzeNonDomestiche!H108</f>
        <v>7.4488738878154352</v>
      </c>
      <c r="D34" s="343">
        <f>UtenzeNonDomestiche!I108</f>
        <v>13.952215686362099</v>
      </c>
      <c r="F34" s="380"/>
      <c r="G34" s="348"/>
      <c r="H34" s="298">
        <v>6.65</v>
      </c>
      <c r="I34" s="298">
        <v>7.37</v>
      </c>
      <c r="J34" s="399">
        <f t="shared" si="0"/>
        <v>14.02</v>
      </c>
    </row>
    <row r="35" spans="1:10" x14ac:dyDescent="0.25">
      <c r="A35" s="160" t="str">
        <f>'DATI INPUT'!A64</f>
        <v>17 - Bar, caffè, pasticceria</v>
      </c>
      <c r="B35" s="342">
        <f>UtenzeNonDomestiche!G109</f>
        <v>4.8909430055185634</v>
      </c>
      <c r="C35" s="342">
        <f>UtenzeNonDomestiche!H109</f>
        <v>5.5993299554992753</v>
      </c>
      <c r="D35" s="343">
        <f>UtenzeNonDomestiche!I109</f>
        <v>10.490272961017839</v>
      </c>
      <c r="H35" s="298">
        <v>5</v>
      </c>
      <c r="I35" s="298">
        <v>5.54</v>
      </c>
      <c r="J35" s="399">
        <f t="shared" si="0"/>
        <v>10.54</v>
      </c>
    </row>
    <row r="36" spans="1:10" x14ac:dyDescent="0.25">
      <c r="A36" s="160" t="str">
        <f>'DATI INPUT'!A65</f>
        <v>18 - Supermercato, pane e pasta, macelleria, salumi e formaggi, generi alimentari</v>
      </c>
      <c r="B36" s="342">
        <f>UtenzeNonDomestiche!G110</f>
        <v>2.8646951889465875</v>
      </c>
      <c r="C36" s="342">
        <f>UtenzeNonDomestiche!H110</f>
        <v>3.286367299837301</v>
      </c>
      <c r="D36" s="343">
        <f>UtenzeNonDomestiche!I110</f>
        <v>6.1510624887838885</v>
      </c>
      <c r="H36" s="298">
        <v>2.93</v>
      </c>
      <c r="I36" s="298">
        <v>3.25</v>
      </c>
      <c r="J36" s="399">
        <f t="shared" si="0"/>
        <v>6.18</v>
      </c>
    </row>
    <row r="37" spans="1:10" x14ac:dyDescent="0.25">
      <c r="A37" s="160" t="str">
        <f>'DATI INPUT'!A66</f>
        <v>19 - Plurilicenze alimentari e/o miste</v>
      </c>
      <c r="B37" s="342">
        <f>UtenzeNonDomestiche!G111</f>
        <v>2.9318784719894246</v>
      </c>
      <c r="C37" s="342">
        <f>UtenzeNonDomestiche!H111</f>
        <v>3.3577202637236092</v>
      </c>
      <c r="D37" s="343">
        <f>UtenzeNonDomestiche!I111</f>
        <v>6.2895987357130334</v>
      </c>
      <c r="H37" s="298">
        <v>2.99</v>
      </c>
      <c r="I37" s="298">
        <v>3.32</v>
      </c>
      <c r="J37" s="399">
        <f t="shared" si="0"/>
        <v>6.3100000000000005</v>
      </c>
    </row>
    <row r="38" spans="1:10" x14ac:dyDescent="0.25">
      <c r="A38" s="160" t="str">
        <f>'DATI INPUT'!A67</f>
        <v>20 - Ortofrutta, pescherie, fiori e piante, pizza al taglio</v>
      </c>
      <c r="B38" s="342">
        <f>UtenzeNonDomestiche!G112</f>
        <v>8.1426139047918937</v>
      </c>
      <c r="C38" s="342">
        <f>UtenzeNonDomestiche!H112</f>
        <v>9.3359720116507052</v>
      </c>
      <c r="D38" s="343">
        <f>UtenzeNonDomestiche!I112</f>
        <v>17.478585916442597</v>
      </c>
      <c r="H38" s="298">
        <v>8.32</v>
      </c>
      <c r="I38" s="298">
        <v>9.24</v>
      </c>
      <c r="J38" s="399">
        <f t="shared" si="0"/>
        <v>17.560000000000002</v>
      </c>
    </row>
    <row r="39" spans="1:10" x14ac:dyDescent="0.25">
      <c r="A39" s="160" t="str">
        <f>'DATI INPUT'!A68</f>
        <v>21 - Discoteche, night club</v>
      </c>
      <c r="B39" s="342">
        <f>UtenzeNonDomestiche!G113</f>
        <v>2.2036116838050672</v>
      </c>
      <c r="C39" s="342">
        <f>UtenzeNonDomestiche!H113</f>
        <v>2.5255193796601358</v>
      </c>
      <c r="D39" s="343">
        <f>UtenzeNonDomestiche!I113</f>
        <v>4.7291310634652035</v>
      </c>
      <c r="H39" s="298">
        <v>2.25</v>
      </c>
      <c r="I39" s="298">
        <v>2.5</v>
      </c>
      <c r="J39" s="399">
        <f t="shared" si="0"/>
        <v>4.75</v>
      </c>
    </row>
    <row r="40" spans="1:10" x14ac:dyDescent="0.25">
      <c r="A40" s="160">
        <f>'DATI INPUT'!A69</f>
        <v>0</v>
      </c>
      <c r="B40" s="342" t="e">
        <f>UtenzeNonDomestiche!G114</f>
        <v>#DIV/0!</v>
      </c>
      <c r="C40" s="342" t="e">
        <f>UtenzeNonDomestiche!H114</f>
        <v>#DIV/0!</v>
      </c>
      <c r="D40" s="343" t="e">
        <f>UtenzeNonDomestiche!I114</f>
        <v>#DIV/0!</v>
      </c>
    </row>
    <row r="41" spans="1:10" x14ac:dyDescent="0.25">
      <c r="A41" s="160">
        <f>'DATI INPUT'!A70</f>
        <v>0</v>
      </c>
      <c r="B41" s="342" t="e">
        <f>UtenzeNonDomestiche!G115</f>
        <v>#DIV/0!</v>
      </c>
      <c r="C41" s="342" t="e">
        <f>UtenzeNonDomestiche!H115</f>
        <v>#DIV/0!</v>
      </c>
      <c r="D41" s="343" t="e">
        <f>UtenzeNonDomestiche!I115</f>
        <v>#DIV/0!</v>
      </c>
    </row>
    <row r="42" spans="1:10" x14ac:dyDescent="0.25">
      <c r="A42" s="160">
        <f>'DATI INPUT'!A71</f>
        <v>0</v>
      </c>
      <c r="B42" s="342" t="e">
        <f>UtenzeNonDomestiche!G116</f>
        <v>#DIV/0!</v>
      </c>
      <c r="C42" s="342" t="e">
        <f>UtenzeNonDomestiche!H116</f>
        <v>#DIV/0!</v>
      </c>
      <c r="D42" s="343" t="e">
        <f>UtenzeNonDomestiche!I116</f>
        <v>#DIV/0!</v>
      </c>
    </row>
    <row r="43" spans="1:10" x14ac:dyDescent="0.25">
      <c r="A43" s="160">
        <f>'DATI INPUT'!A72</f>
        <v>0</v>
      </c>
      <c r="B43" s="342" t="e">
        <f>UtenzeNonDomestiche!G117</f>
        <v>#DIV/0!</v>
      </c>
      <c r="C43" s="342" t="e">
        <f>UtenzeNonDomestiche!H117</f>
        <v>#DIV/0!</v>
      </c>
      <c r="D43" s="343" t="e">
        <f>UtenzeNonDomestiche!I117</f>
        <v>#DIV/0!</v>
      </c>
    </row>
    <row r="44" spans="1:10" x14ac:dyDescent="0.25">
      <c r="A44" s="160">
        <f>'DATI INPUT'!A73</f>
        <v>0</v>
      </c>
      <c r="B44" s="342" t="e">
        <f>UtenzeNonDomestiche!G118</f>
        <v>#DIV/0!</v>
      </c>
      <c r="C44" s="342" t="e">
        <f>UtenzeNonDomestiche!H118</f>
        <v>#DIV/0!</v>
      </c>
      <c r="D44" s="343" t="e">
        <f>UtenzeNonDomestiche!I118</f>
        <v>#DIV/0!</v>
      </c>
    </row>
    <row r="45" spans="1:10" x14ac:dyDescent="0.25">
      <c r="A45" s="160">
        <f>'DATI INPUT'!A74</f>
        <v>0</v>
      </c>
      <c r="B45" s="342" t="e">
        <f>UtenzeNonDomestiche!G119</f>
        <v>#DIV/0!</v>
      </c>
      <c r="C45" s="342" t="e">
        <f>UtenzeNonDomestiche!H119</f>
        <v>#DIV/0!</v>
      </c>
      <c r="D45" s="343" t="e">
        <f>UtenzeNonDomestiche!I119</f>
        <v>#DIV/0!</v>
      </c>
    </row>
    <row r="46" spans="1:10" x14ac:dyDescent="0.25">
      <c r="A46" s="160">
        <f>'DATI INPUT'!A75</f>
        <v>0</v>
      </c>
      <c r="B46" s="342" t="e">
        <f>UtenzeNonDomestiche!G120</f>
        <v>#DIV/0!</v>
      </c>
      <c r="C46" s="342" t="e">
        <f>UtenzeNonDomestiche!H120</f>
        <v>#DIV/0!</v>
      </c>
      <c r="D46" s="343" t="e">
        <f>UtenzeNonDomestiche!I120</f>
        <v>#DIV/0!</v>
      </c>
    </row>
    <row r="47" spans="1:10" x14ac:dyDescent="0.25">
      <c r="A47" s="160">
        <f>'DATI INPUT'!A76</f>
        <v>0</v>
      </c>
      <c r="B47" s="342" t="e">
        <f>UtenzeNonDomestiche!G121</f>
        <v>#DIV/0!</v>
      </c>
      <c r="C47" s="342" t="e">
        <f>UtenzeNonDomestiche!H121</f>
        <v>#DIV/0!</v>
      </c>
      <c r="D47" s="343" t="e">
        <f>UtenzeNonDomestiche!I121</f>
        <v>#DIV/0!</v>
      </c>
    </row>
    <row r="48" spans="1:10" x14ac:dyDescent="0.25">
      <c r="A48" s="160">
        <f>'DATI INPUT'!A77</f>
        <v>0</v>
      </c>
      <c r="B48" s="342" t="e">
        <f>UtenzeNonDomestiche!G122</f>
        <v>#DIV/0!</v>
      </c>
      <c r="C48" s="342" t="e">
        <f>UtenzeNonDomestiche!H122</f>
        <v>#DIV/0!</v>
      </c>
      <c r="D48" s="343" t="e">
        <f>UtenzeNonDomestiche!I122</f>
        <v>#DIV/0!</v>
      </c>
    </row>
    <row r="49" spans="1:7" x14ac:dyDescent="0.25">
      <c r="A49" s="160">
        <f>'DATI INPUT'!A78</f>
        <v>0</v>
      </c>
      <c r="B49" s="342" t="e">
        <f>UtenzeNonDomestiche!G123</f>
        <v>#DIV/0!</v>
      </c>
      <c r="C49" s="342" t="e">
        <f>UtenzeNonDomestiche!H123</f>
        <v>#DIV/0!</v>
      </c>
      <c r="D49" s="343" t="e">
        <f>UtenzeNonDomestiche!I123</f>
        <v>#DIV/0!</v>
      </c>
      <c r="F49" s="380"/>
      <c r="G49" s="348"/>
    </row>
    <row r="50" spans="1:7" x14ac:dyDescent="0.25">
      <c r="A50" s="198">
        <f>'DATI INPUT'!A79</f>
        <v>0</v>
      </c>
      <c r="B50" s="344" t="e">
        <f>UtenzeNonDomestiche!G124</f>
        <v>#DIV/0!</v>
      </c>
      <c r="C50" s="344" t="e">
        <f>UtenzeNonDomestiche!H124</f>
        <v>#DIV/0!</v>
      </c>
      <c r="D50" s="345" t="e">
        <f>UtenzeNonDomestiche!I124</f>
        <v>#DIV/0!</v>
      </c>
    </row>
    <row r="51" spans="1:7" x14ac:dyDescent="0.25">
      <c r="A51" t="s">
        <v>7</v>
      </c>
    </row>
    <row r="53" spans="1:7" s="189" customFormat="1" ht="24.95" customHeight="1" x14ac:dyDescent="0.25">
      <c r="A53" s="411" t="s">
        <v>216</v>
      </c>
      <c r="B53" s="412"/>
      <c r="C53" s="412"/>
      <c r="D53" s="412"/>
      <c r="E53" s="412"/>
      <c r="F53" s="413"/>
    </row>
    <row r="54" spans="1:7" ht="6" customHeight="1" x14ac:dyDescent="0.25">
      <c r="A54" s="1"/>
      <c r="B54" s="1"/>
      <c r="C54" s="1"/>
      <c r="D54" s="1"/>
      <c r="E54" s="1"/>
      <c r="F54" s="1"/>
    </row>
    <row r="55" spans="1:7" x14ac:dyDescent="0.25">
      <c r="A55" s="405" t="s">
        <v>205</v>
      </c>
      <c r="B55" s="405"/>
      <c r="C55" s="164" t="s">
        <v>209</v>
      </c>
      <c r="D55" s="422" t="s">
        <v>208</v>
      </c>
      <c r="E55" s="423"/>
      <c r="F55" s="174"/>
    </row>
    <row r="56" spans="1:7" x14ac:dyDescent="0.25">
      <c r="A56" s="424" t="s">
        <v>25</v>
      </c>
      <c r="B56" s="425"/>
      <c r="C56" s="159">
        <v>1</v>
      </c>
      <c r="D56" s="400">
        <v>0</v>
      </c>
      <c r="E56" s="401"/>
      <c r="F56" s="175"/>
    </row>
    <row r="57" spans="1:7" x14ac:dyDescent="0.25">
      <c r="A57" s="426"/>
      <c r="B57" s="427"/>
      <c r="C57" s="162">
        <v>2</v>
      </c>
      <c r="D57" s="432">
        <v>0</v>
      </c>
      <c r="E57" s="433"/>
      <c r="F57" s="279"/>
    </row>
    <row r="58" spans="1:7" x14ac:dyDescent="0.25">
      <c r="A58" s="1"/>
      <c r="B58" s="1"/>
      <c r="C58" s="1"/>
      <c r="D58" s="1"/>
      <c r="E58" s="1"/>
      <c r="F58" s="1"/>
    </row>
    <row r="59" spans="1:7" x14ac:dyDescent="0.25">
      <c r="A59" s="1"/>
      <c r="B59" s="1"/>
      <c r="C59" s="1"/>
      <c r="D59" s="1"/>
      <c r="E59" s="1"/>
      <c r="F59" s="1"/>
    </row>
    <row r="60" spans="1:7" s="189" customFormat="1" ht="24.95" customHeight="1" x14ac:dyDescent="0.25">
      <c r="A60" s="402" t="s">
        <v>218</v>
      </c>
      <c r="B60" s="403"/>
      <c r="C60" s="403"/>
      <c r="D60" s="403"/>
      <c r="E60" s="403"/>
      <c r="F60" s="404"/>
    </row>
    <row r="61" spans="1:7" ht="6" customHeight="1" x14ac:dyDescent="0.25">
      <c r="A61" s="1"/>
      <c r="B61" s="1"/>
      <c r="C61" s="1"/>
      <c r="D61" s="1"/>
      <c r="E61" s="1"/>
      <c r="F61" s="1"/>
    </row>
    <row r="62" spans="1:7" x14ac:dyDescent="0.25">
      <c r="A62" s="405" t="s">
        <v>205</v>
      </c>
      <c r="B62" s="405"/>
      <c r="C62" s="164" t="s">
        <v>206</v>
      </c>
      <c r="D62" s="422" t="s">
        <v>208</v>
      </c>
      <c r="E62" s="423"/>
      <c r="F62" s="174"/>
    </row>
    <row r="63" spans="1:7" x14ac:dyDescent="0.25">
      <c r="A63" s="406" t="s">
        <v>111</v>
      </c>
      <c r="B63" s="407"/>
      <c r="C63" s="159">
        <v>1</v>
      </c>
      <c r="D63" s="400">
        <v>0</v>
      </c>
      <c r="E63" s="401"/>
      <c r="F63" s="175"/>
    </row>
    <row r="64" spans="1:7" x14ac:dyDescent="0.25">
      <c r="A64" s="428" t="s">
        <v>110</v>
      </c>
      <c r="B64" s="429"/>
      <c r="C64" s="161">
        <v>2</v>
      </c>
      <c r="D64" s="434">
        <v>0</v>
      </c>
      <c r="E64" s="435"/>
      <c r="F64" s="175"/>
    </row>
    <row r="65" spans="1:6" x14ac:dyDescent="0.25">
      <c r="A65" s="428" t="s">
        <v>109</v>
      </c>
      <c r="B65" s="429"/>
      <c r="C65" s="161">
        <v>3</v>
      </c>
      <c r="D65" s="434">
        <v>0</v>
      </c>
      <c r="E65" s="435"/>
      <c r="F65" s="175"/>
    </row>
    <row r="66" spans="1:6" x14ac:dyDescent="0.25">
      <c r="A66" s="430" t="s">
        <v>3</v>
      </c>
      <c r="B66" s="431"/>
      <c r="C66" s="162">
        <v>4</v>
      </c>
      <c r="D66" s="432">
        <v>0</v>
      </c>
      <c r="E66" s="433"/>
      <c r="F66" s="175"/>
    </row>
    <row r="68" spans="1:6" x14ac:dyDescent="0.25">
      <c r="A68" s="421"/>
      <c r="B68" s="421"/>
      <c r="C68" s="421"/>
      <c r="D68" s="421"/>
      <c r="E68" s="421"/>
      <c r="F68" s="421"/>
    </row>
    <row r="69" spans="1:6" x14ac:dyDescent="0.25">
      <c r="A69" s="421"/>
      <c r="B69" s="421"/>
      <c r="C69" s="421"/>
      <c r="D69" s="421"/>
      <c r="E69" s="421"/>
      <c r="F69" s="421"/>
    </row>
  </sheetData>
  <mergeCells count="27">
    <mergeCell ref="H16:J16"/>
    <mergeCell ref="H3:I3"/>
    <mergeCell ref="A68:F69"/>
    <mergeCell ref="A55:B55"/>
    <mergeCell ref="D55:E55"/>
    <mergeCell ref="A56:B56"/>
    <mergeCell ref="D56:E56"/>
    <mergeCell ref="A57:B57"/>
    <mergeCell ref="A65:B65"/>
    <mergeCell ref="A66:B66"/>
    <mergeCell ref="D66:E66"/>
    <mergeCell ref="D65:E65"/>
    <mergeCell ref="A64:B64"/>
    <mergeCell ref="D64:E64"/>
    <mergeCell ref="D62:E62"/>
    <mergeCell ref="D57:E57"/>
    <mergeCell ref="D63:E63"/>
    <mergeCell ref="A60:F60"/>
    <mergeCell ref="A62:B62"/>
    <mergeCell ref="A63:B63"/>
    <mergeCell ref="A1:F1"/>
    <mergeCell ref="A3:F3"/>
    <mergeCell ref="F19:F21"/>
    <mergeCell ref="C13:F14"/>
    <mergeCell ref="A16:F16"/>
    <mergeCell ref="F22:F24"/>
    <mergeCell ref="A53:F53"/>
  </mergeCells>
  <phoneticPr fontId="30" type="noConversion"/>
  <pageMargins left="0.7" right="0.7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54"/>
  <sheetViews>
    <sheetView topLeftCell="A10" zoomScale="85" zoomScaleNormal="85" workbookViewId="0">
      <selection activeCell="C39" sqref="C39"/>
    </sheetView>
  </sheetViews>
  <sheetFormatPr defaultRowHeight="15" x14ac:dyDescent="0.25"/>
  <cols>
    <col min="1" max="1" width="10.5703125" style="1" bestFit="1" customWidth="1"/>
    <col min="2" max="2" width="44.140625" style="1" customWidth="1"/>
    <col min="3" max="3" width="19" style="1" customWidth="1"/>
    <col min="4" max="4" width="2" style="1" bestFit="1" customWidth="1"/>
    <col min="5" max="5" width="18" style="1" customWidth="1"/>
    <col min="6" max="6" width="33" style="1" customWidth="1"/>
    <col min="7" max="7" width="18" customWidth="1"/>
    <col min="8" max="8" width="1.28515625" customWidth="1"/>
    <col min="9" max="9" width="18.5703125" customWidth="1"/>
    <col min="10" max="10" width="29.7109375" customWidth="1"/>
    <col min="11" max="11" width="14.85546875" customWidth="1"/>
    <col min="12" max="12" width="2" customWidth="1"/>
    <col min="13" max="13" width="8.85546875" customWidth="1"/>
    <col min="14" max="14" width="5.140625" bestFit="1" customWidth="1"/>
    <col min="15" max="15" width="5.140625" customWidth="1"/>
  </cols>
  <sheetData>
    <row r="1" spans="1:11" x14ac:dyDescent="0.25">
      <c r="A1" s="446" t="s">
        <v>256</v>
      </c>
      <c r="B1" s="447"/>
      <c r="C1" s="447"/>
      <c r="D1" s="447"/>
      <c r="E1" s="447"/>
      <c r="F1" s="447"/>
      <c r="G1" s="448"/>
    </row>
    <row r="2" spans="1:11" ht="7.5" customHeight="1" x14ac:dyDescent="0.25"/>
    <row r="3" spans="1:11" s="18" customFormat="1" ht="15.75" x14ac:dyDescent="0.25">
      <c r="A3" s="16" t="s">
        <v>55</v>
      </c>
      <c r="B3" s="16" t="s">
        <v>137</v>
      </c>
      <c r="C3" s="38" t="s">
        <v>54</v>
      </c>
      <c r="D3" s="17"/>
      <c r="E3" s="27" t="s">
        <v>133</v>
      </c>
      <c r="F3" s="16"/>
    </row>
    <row r="4" spans="1:11" s="18" customFormat="1" x14ac:dyDescent="0.25">
      <c r="A4" s="16"/>
      <c r="B4" s="16"/>
      <c r="C4" s="16"/>
      <c r="D4" s="16"/>
      <c r="E4" s="35"/>
    </row>
    <row r="5" spans="1:11" s="18" customFormat="1" x14ac:dyDescent="0.25">
      <c r="A5" s="16" t="s">
        <v>59</v>
      </c>
      <c r="B5" s="109"/>
      <c r="C5" s="19"/>
      <c r="D5" s="16"/>
      <c r="E5" s="16" t="s">
        <v>65</v>
      </c>
      <c r="F5" s="16"/>
      <c r="G5" s="19"/>
      <c r="H5" s="19"/>
    </row>
    <row r="6" spans="1:11" s="18" customFormat="1" ht="30" x14ac:dyDescent="0.25">
      <c r="A6" s="23" t="s">
        <v>191</v>
      </c>
      <c r="B6" s="25" t="s">
        <v>60</v>
      </c>
      <c r="C6" s="114"/>
      <c r="D6" s="16"/>
      <c r="E6" s="23" t="s">
        <v>188</v>
      </c>
      <c r="F6" s="21" t="s">
        <v>171</v>
      </c>
      <c r="G6" s="45"/>
      <c r="H6" s="117"/>
    </row>
    <row r="7" spans="1:11" s="18" customFormat="1" x14ac:dyDescent="0.25">
      <c r="A7" s="24"/>
      <c r="B7" s="26"/>
      <c r="C7" s="113"/>
      <c r="D7" s="16"/>
      <c r="E7" s="24"/>
      <c r="F7" s="21" t="s">
        <v>187</v>
      </c>
      <c r="G7" s="110"/>
      <c r="H7" s="118"/>
    </row>
    <row r="8" spans="1:11" s="18" customFormat="1" ht="30" x14ac:dyDescent="0.25">
      <c r="A8" s="20" t="s">
        <v>56</v>
      </c>
      <c r="B8" s="21" t="s">
        <v>61</v>
      </c>
      <c r="C8" s="50"/>
      <c r="D8" s="16"/>
      <c r="E8" s="20" t="s">
        <v>189</v>
      </c>
      <c r="F8" s="21" t="s">
        <v>67</v>
      </c>
      <c r="G8" s="45"/>
      <c r="H8" s="117"/>
      <c r="K8" s="79"/>
    </row>
    <row r="9" spans="1:11" s="18" customFormat="1" ht="30" x14ac:dyDescent="0.25">
      <c r="A9" s="23" t="s">
        <v>70</v>
      </c>
      <c r="B9" s="21" t="s">
        <v>62</v>
      </c>
      <c r="C9" s="50"/>
      <c r="D9" s="16"/>
      <c r="E9" s="23" t="s">
        <v>190</v>
      </c>
      <c r="F9" s="21" t="s">
        <v>68</v>
      </c>
      <c r="G9" s="45"/>
      <c r="H9" s="117"/>
      <c r="J9" s="79"/>
    </row>
    <row r="10" spans="1:11" s="18" customFormat="1" x14ac:dyDescent="0.25">
      <c r="A10" s="24"/>
      <c r="B10" s="21" t="s">
        <v>193</v>
      </c>
      <c r="C10" s="50"/>
      <c r="D10" s="16"/>
      <c r="E10" s="100"/>
      <c r="F10" s="21" t="s">
        <v>187</v>
      </c>
      <c r="G10" s="111"/>
      <c r="H10" s="118"/>
      <c r="J10" s="79"/>
    </row>
    <row r="11" spans="1:11" s="18" customFormat="1" x14ac:dyDescent="0.25">
      <c r="A11" s="20" t="s">
        <v>57</v>
      </c>
      <c r="B11" s="21" t="s">
        <v>186</v>
      </c>
      <c r="C11" s="50"/>
      <c r="D11" s="16"/>
      <c r="E11" s="23" t="s">
        <v>66</v>
      </c>
      <c r="F11" s="25" t="s">
        <v>69</v>
      </c>
      <c r="G11" s="127"/>
      <c r="H11" s="117"/>
    </row>
    <row r="12" spans="1:11" s="18" customFormat="1" x14ac:dyDescent="0.25">
      <c r="A12" s="20" t="s">
        <v>192</v>
      </c>
      <c r="B12" s="21" t="s">
        <v>63</v>
      </c>
      <c r="C12" s="50"/>
      <c r="D12" s="16"/>
      <c r="E12" s="24"/>
      <c r="F12" s="26"/>
      <c r="G12" s="115"/>
      <c r="H12" s="118"/>
    </row>
    <row r="13" spans="1:11" s="18" customFormat="1" x14ac:dyDescent="0.25">
      <c r="A13" s="20" t="s">
        <v>58</v>
      </c>
      <c r="B13" s="21" t="s">
        <v>64</v>
      </c>
      <c r="C13" s="50"/>
      <c r="D13" s="16"/>
      <c r="E13" s="24"/>
      <c r="F13" s="21"/>
      <c r="G13" s="115"/>
      <c r="H13" s="118"/>
    </row>
    <row r="14" spans="1:11" s="18" customFormat="1" ht="15" customHeight="1" x14ac:dyDescent="0.25">
      <c r="A14" s="16"/>
      <c r="B14" s="16"/>
      <c r="C14" s="16"/>
      <c r="D14" s="16"/>
      <c r="E14" s="16"/>
      <c r="F14" s="16"/>
    </row>
    <row r="15" spans="1:11" s="18" customFormat="1" ht="15" customHeight="1" x14ac:dyDescent="0.25">
      <c r="A15" s="16"/>
      <c r="B15" s="16" t="s">
        <v>194</v>
      </c>
      <c r="C15" s="389">
        <v>99516</v>
      </c>
      <c r="D15" s="104"/>
      <c r="E15" s="104"/>
      <c r="F15" s="104" t="s">
        <v>257</v>
      </c>
      <c r="G15" s="389">
        <v>114087</v>
      </c>
      <c r="H15" s="104"/>
    </row>
    <row r="16" spans="1:11" s="18" customFormat="1" ht="15" customHeight="1" x14ac:dyDescent="0.25">
      <c r="A16" s="16"/>
      <c r="B16" s="391" t="s">
        <v>259</v>
      </c>
      <c r="C16" s="392">
        <f>E16*C20</f>
        <v>0</v>
      </c>
      <c r="D16" s="393"/>
      <c r="E16" s="394">
        <v>0</v>
      </c>
      <c r="F16" s="393"/>
      <c r="G16" s="392">
        <f>E16*G20</f>
        <v>0</v>
      </c>
      <c r="H16" s="79"/>
    </row>
    <row r="17" spans="1:14" s="18" customFormat="1" ht="15" customHeight="1" x14ac:dyDescent="0.25">
      <c r="A17" s="16"/>
      <c r="B17" s="16"/>
      <c r="C17" s="16"/>
      <c r="D17" s="16"/>
      <c r="E17" s="16"/>
      <c r="F17" s="16"/>
    </row>
    <row r="18" spans="1:14" s="18" customFormat="1" x14ac:dyDescent="0.25">
      <c r="A18" s="16"/>
      <c r="B18" s="21" t="s">
        <v>260</v>
      </c>
      <c r="C18" s="387">
        <f>C15-C16</f>
        <v>99516</v>
      </c>
      <c r="D18" s="16"/>
      <c r="E18" s="16"/>
      <c r="F18" s="21" t="s">
        <v>261</v>
      </c>
      <c r="G18" s="387">
        <f>G15-G16</f>
        <v>114087</v>
      </c>
      <c r="H18" s="117"/>
    </row>
    <row r="19" spans="1:14" s="18" customFormat="1" ht="7.5" customHeight="1" x14ac:dyDescent="0.25">
      <c r="A19" s="16"/>
      <c r="B19" s="16"/>
      <c r="C19" s="16"/>
      <c r="D19" s="16"/>
      <c r="E19" s="16"/>
      <c r="F19" s="16"/>
    </row>
    <row r="20" spans="1:14" s="18" customFormat="1" x14ac:dyDescent="0.25">
      <c r="A20" s="16"/>
      <c r="B20" s="36" t="s">
        <v>140</v>
      </c>
      <c r="C20" s="22">
        <f>C15/C22</f>
        <v>0.46589233297285149</v>
      </c>
      <c r="D20" s="16"/>
      <c r="E20" s="16"/>
      <c r="F20" s="36" t="s">
        <v>71</v>
      </c>
      <c r="G20" s="22">
        <f>G15/C22</f>
        <v>0.53410766702714851</v>
      </c>
      <c r="H20" s="119"/>
    </row>
    <row r="21" spans="1:14" ht="12.75" customHeight="1" x14ac:dyDescent="0.25"/>
    <row r="22" spans="1:14" x14ac:dyDescent="0.25">
      <c r="B22" s="390" t="s">
        <v>258</v>
      </c>
      <c r="C22" s="388">
        <f>SUM(C15:G15)</f>
        <v>213603</v>
      </c>
      <c r="F22" s="28"/>
    </row>
    <row r="23" spans="1:14" x14ac:dyDescent="0.25">
      <c r="B23" s="34"/>
      <c r="C23" s="116">
        <v>100</v>
      </c>
      <c r="F23" s="28"/>
    </row>
    <row r="24" spans="1:14" x14ac:dyDescent="0.25">
      <c r="E24" s="156">
        <v>0.8</v>
      </c>
      <c r="F24" s="28" t="s">
        <v>94</v>
      </c>
    </row>
    <row r="25" spans="1:14" x14ac:dyDescent="0.25">
      <c r="B25" s="7" t="s">
        <v>262</v>
      </c>
      <c r="C25" s="388">
        <f>C18+G18</f>
        <v>213603</v>
      </c>
      <c r="E25" s="157">
        <f>100%-E24</f>
        <v>0.19999999999999996</v>
      </c>
      <c r="F25" s="28" t="s">
        <v>95</v>
      </c>
      <c r="G25" s="97"/>
      <c r="H25" s="97"/>
      <c r="I25" s="4"/>
      <c r="J25" s="4"/>
    </row>
    <row r="26" spans="1:14" x14ac:dyDescent="0.25">
      <c r="B26" s="80"/>
      <c r="G26" s="7"/>
      <c r="H26" s="7"/>
    </row>
    <row r="27" spans="1:14" x14ac:dyDescent="0.25">
      <c r="A27" s="443" t="s">
        <v>131</v>
      </c>
      <c r="B27" s="444"/>
      <c r="C27" s="444"/>
      <c r="D27" s="444"/>
      <c r="E27" s="444"/>
      <c r="F27" s="444"/>
      <c r="G27" s="445"/>
    </row>
    <row r="28" spans="1:14" x14ac:dyDescent="0.25">
      <c r="F28"/>
    </row>
    <row r="29" spans="1:14" x14ac:dyDescent="0.25">
      <c r="C29" s="123" t="s">
        <v>136</v>
      </c>
      <c r="D29" s="166"/>
      <c r="E29" s="123" t="s">
        <v>212</v>
      </c>
      <c r="F29" s="165" t="s">
        <v>156</v>
      </c>
      <c r="G29" s="11"/>
      <c r="H29" s="120"/>
    </row>
    <row r="30" spans="1:14" x14ac:dyDescent="0.25">
      <c r="A30" t="s">
        <v>87</v>
      </c>
      <c r="B30"/>
      <c r="C30" s="105">
        <v>28362.76</v>
      </c>
      <c r="D30" s="82"/>
      <c r="E30" s="171">
        <v>206</v>
      </c>
      <c r="F30" s="178">
        <f t="shared" ref="F30:F37" si="0">C30/E30</f>
        <v>137.68330097087377</v>
      </c>
      <c r="G30" s="11"/>
      <c r="H30" s="120"/>
      <c r="K30" s="178"/>
      <c r="L30" s="9"/>
      <c r="M30" s="9"/>
      <c r="N30" s="9"/>
    </row>
    <row r="31" spans="1:14" x14ac:dyDescent="0.25">
      <c r="A31" t="s">
        <v>88</v>
      </c>
      <c r="B31"/>
      <c r="C31" s="106">
        <v>35458.79</v>
      </c>
      <c r="D31" s="83"/>
      <c r="E31" s="172">
        <v>214</v>
      </c>
      <c r="F31" s="178">
        <f t="shared" si="0"/>
        <v>165.69528037383179</v>
      </c>
      <c r="G31" s="11"/>
      <c r="H31" s="120"/>
      <c r="K31" s="178"/>
      <c r="L31" s="9"/>
      <c r="M31" s="9"/>
      <c r="N31" s="9"/>
    </row>
    <row r="32" spans="1:14" x14ac:dyDescent="0.25">
      <c r="A32" t="s">
        <v>89</v>
      </c>
      <c r="B32"/>
      <c r="C32" s="106">
        <v>27776.93</v>
      </c>
      <c r="D32" s="83"/>
      <c r="E32" s="172">
        <v>188</v>
      </c>
      <c r="F32" s="178">
        <f t="shared" si="0"/>
        <v>147.74962765957446</v>
      </c>
      <c r="G32" s="11"/>
      <c r="H32" s="120"/>
      <c r="K32" s="178"/>
      <c r="L32" s="9"/>
      <c r="M32" s="9"/>
      <c r="N32" s="9"/>
    </row>
    <row r="33" spans="1:15" x14ac:dyDescent="0.25">
      <c r="A33" t="s">
        <v>90</v>
      </c>
      <c r="B33"/>
      <c r="C33" s="106">
        <v>11573.17</v>
      </c>
      <c r="D33" s="83"/>
      <c r="E33" s="172">
        <v>69</v>
      </c>
      <c r="F33" s="178">
        <f t="shared" si="0"/>
        <v>167.72710144927535</v>
      </c>
      <c r="G33" s="11"/>
      <c r="H33" s="120"/>
      <c r="K33" s="178"/>
      <c r="L33" s="9"/>
      <c r="M33" s="9"/>
      <c r="N33" s="9"/>
    </row>
    <row r="34" spans="1:15" x14ac:dyDescent="0.25">
      <c r="A34" t="s">
        <v>91</v>
      </c>
      <c r="B34"/>
      <c r="C34" s="106">
        <v>3324.4349999999999</v>
      </c>
      <c r="D34" s="83"/>
      <c r="E34" s="172">
        <v>19</v>
      </c>
      <c r="F34" s="178">
        <f t="shared" si="0"/>
        <v>174.97026315789472</v>
      </c>
      <c r="G34" s="11"/>
      <c r="H34" s="120"/>
      <c r="K34" s="178"/>
      <c r="L34" s="9"/>
      <c r="M34" s="9"/>
      <c r="N34" s="9"/>
    </row>
    <row r="35" spans="1:15" x14ac:dyDescent="0.25">
      <c r="A35" t="s">
        <v>92</v>
      </c>
      <c r="B35"/>
      <c r="C35" s="107">
        <v>1869.9770000000001</v>
      </c>
      <c r="D35" s="81"/>
      <c r="E35" s="173">
        <v>10</v>
      </c>
      <c r="F35" s="178">
        <f t="shared" si="0"/>
        <v>186.99770000000001</v>
      </c>
      <c r="G35" s="11"/>
      <c r="H35" s="120"/>
      <c r="K35" s="178"/>
      <c r="L35" s="9"/>
      <c r="M35" s="9"/>
      <c r="N35" s="9"/>
    </row>
    <row r="36" spans="1:15" ht="6" customHeight="1" x14ac:dyDescent="0.25">
      <c r="A36"/>
      <c r="B36"/>
      <c r="C36" s="132"/>
      <c r="D36" s="133"/>
      <c r="E36" s="134"/>
      <c r="F36" s="9"/>
      <c r="G36" s="11"/>
      <c r="H36" s="120"/>
      <c r="K36" s="9"/>
      <c r="L36" s="9"/>
    </row>
    <row r="37" spans="1:15" x14ac:dyDescent="0.25">
      <c r="A37" t="s">
        <v>201</v>
      </c>
      <c r="B37"/>
      <c r="C37" s="129">
        <v>1.0000000000000001E-5</v>
      </c>
      <c r="D37" s="130"/>
      <c r="E37" s="131">
        <v>1.0000000000000001E-5</v>
      </c>
      <c r="F37" s="357">
        <f t="shared" si="0"/>
        <v>1</v>
      </c>
      <c r="G37" s="135"/>
      <c r="H37" s="120"/>
      <c r="K37" s="396"/>
      <c r="L37" s="9"/>
      <c r="M37" s="9"/>
      <c r="N37" s="9"/>
    </row>
    <row r="38" spans="1:15" ht="5.25" customHeight="1" x14ac:dyDescent="0.25">
      <c r="A38"/>
      <c r="B38"/>
      <c r="C38" s="132"/>
      <c r="D38" s="133"/>
      <c r="E38" s="134"/>
      <c r="F38" s="9"/>
      <c r="G38" s="11"/>
      <c r="H38" s="120"/>
      <c r="K38" s="9"/>
      <c r="L38" s="9"/>
    </row>
    <row r="39" spans="1:15" x14ac:dyDescent="0.25">
      <c r="B39" s="7" t="s">
        <v>202</v>
      </c>
      <c r="C39" s="108">
        <f>SUM(C30:C37)</f>
        <v>108366.06201000001</v>
      </c>
      <c r="D39" s="84"/>
      <c r="E39" s="85">
        <f>SUM(E30:E37)</f>
        <v>706.00000999999997</v>
      </c>
      <c r="G39" s="4"/>
      <c r="H39" s="4"/>
      <c r="I39" s="1"/>
      <c r="J39" s="7"/>
      <c r="K39" s="1"/>
      <c r="L39" s="9"/>
      <c r="M39" s="9"/>
      <c r="N39" s="9"/>
    </row>
    <row r="40" spans="1:15" ht="6" customHeight="1" x14ac:dyDescent="0.25">
      <c r="B40" s="7"/>
      <c r="C40" s="167"/>
      <c r="E40" s="9"/>
      <c r="G40" s="4"/>
      <c r="H40" s="4"/>
      <c r="I40" s="3"/>
      <c r="J40" s="3"/>
      <c r="L40" s="9"/>
    </row>
    <row r="41" spans="1:15" x14ac:dyDescent="0.25">
      <c r="B41" s="7"/>
      <c r="C41" s="168" t="s">
        <v>211</v>
      </c>
      <c r="D41"/>
      <c r="E41" s="170"/>
      <c r="G41" s="4"/>
      <c r="H41" s="4"/>
      <c r="I41" s="3"/>
      <c r="J41" s="3"/>
      <c r="L41" s="9"/>
    </row>
    <row r="42" spans="1:15" x14ac:dyDescent="0.25">
      <c r="B42" s="7" t="s">
        <v>210</v>
      </c>
      <c r="C42" s="169">
        <f>RiepilogoTariffe!B14</f>
        <v>0</v>
      </c>
      <c r="D42" s="28" t="s">
        <v>214</v>
      </c>
      <c r="E42"/>
      <c r="F42"/>
      <c r="G42" s="4"/>
      <c r="H42" s="4"/>
      <c r="I42" s="3"/>
      <c r="J42" s="3"/>
      <c r="L42" s="9"/>
    </row>
    <row r="43" spans="1:15" ht="6" customHeight="1" x14ac:dyDescent="0.25">
      <c r="B43" s="7"/>
      <c r="C43" s="12"/>
      <c r="D43" s="28"/>
      <c r="E43"/>
      <c r="F43"/>
      <c r="G43" s="4"/>
      <c r="H43" s="4"/>
      <c r="I43" s="3"/>
      <c r="J43" s="3"/>
      <c r="L43" s="9"/>
    </row>
    <row r="44" spans="1:15" x14ac:dyDescent="0.25">
      <c r="A44" s="147" t="s">
        <v>213</v>
      </c>
    </row>
    <row r="45" spans="1:15" x14ac:dyDescent="0.25">
      <c r="A45" s="438" t="s">
        <v>135</v>
      </c>
      <c r="B45" s="439"/>
      <c r="C45" s="439"/>
      <c r="D45" s="439"/>
      <c r="E45" s="439"/>
      <c r="F45" s="439"/>
      <c r="G45" s="440"/>
    </row>
    <row r="47" spans="1:15" ht="36" customHeight="1" x14ac:dyDescent="0.25">
      <c r="E47" s="136" t="s">
        <v>139</v>
      </c>
      <c r="F47" s="112"/>
      <c r="G47" s="136" t="s">
        <v>215</v>
      </c>
      <c r="H47" s="112"/>
      <c r="I47" s="183" t="s">
        <v>219</v>
      </c>
    </row>
    <row r="48" spans="1:15" ht="15" customHeight="1" x14ac:dyDescent="0.25">
      <c r="A48" t="s">
        <v>134</v>
      </c>
      <c r="E48" s="13">
        <v>74.45</v>
      </c>
      <c r="F48" s="101"/>
      <c r="G48" s="13">
        <v>74.45</v>
      </c>
      <c r="H48" s="101"/>
      <c r="I48" s="414" t="str">
        <f>RiepilogoTariffe!F19</f>
        <v>x</v>
      </c>
      <c r="J48" s="418" t="s">
        <v>214</v>
      </c>
      <c r="K48" s="87"/>
      <c r="L48" s="87"/>
      <c r="M48" s="87"/>
      <c r="N48" s="87"/>
      <c r="O48" s="87"/>
    </row>
    <row r="49" spans="1:15" x14ac:dyDescent="0.25">
      <c r="A49" t="s">
        <v>233</v>
      </c>
      <c r="E49" s="13">
        <v>0</v>
      </c>
      <c r="F49" s="101"/>
      <c r="G49" s="13">
        <v>9.9999999999999994E-12</v>
      </c>
      <c r="H49" s="102"/>
      <c r="I49" s="415"/>
      <c r="J49" s="418"/>
      <c r="K49" s="87"/>
      <c r="L49" s="87"/>
      <c r="M49" s="87"/>
      <c r="N49" s="87"/>
      <c r="O49" s="87"/>
    </row>
    <row r="50" spans="1:15" x14ac:dyDescent="0.25">
      <c r="A50" t="s">
        <v>234</v>
      </c>
      <c r="E50" s="13">
        <v>0</v>
      </c>
      <c r="F50" s="101"/>
      <c r="G50" s="13">
        <v>9.9999999999999994E-12</v>
      </c>
      <c r="H50" s="102"/>
      <c r="I50" s="416"/>
      <c r="J50" s="418"/>
      <c r="K50" s="87"/>
      <c r="L50" s="87"/>
      <c r="M50" s="87"/>
      <c r="N50" s="87"/>
      <c r="O50" s="87"/>
    </row>
    <row r="51" spans="1:15" x14ac:dyDescent="0.25">
      <c r="A51" t="s">
        <v>235</v>
      </c>
      <c r="E51" s="13">
        <v>91</v>
      </c>
      <c r="F51" s="101"/>
      <c r="G51" s="13">
        <v>91</v>
      </c>
      <c r="H51" s="102"/>
      <c r="I51" s="87"/>
      <c r="J51" s="5"/>
      <c r="K51" s="87"/>
      <c r="L51" s="87"/>
      <c r="M51" s="87"/>
      <c r="N51" s="87"/>
      <c r="O51" s="87"/>
    </row>
    <row r="52" spans="1:15" x14ac:dyDescent="0.25">
      <c r="A52" t="s">
        <v>236</v>
      </c>
      <c r="E52" s="13">
        <v>0</v>
      </c>
      <c r="F52" s="101"/>
      <c r="G52" s="13">
        <v>1E-3</v>
      </c>
      <c r="H52" s="102"/>
      <c r="I52" s="87"/>
      <c r="J52" s="5"/>
      <c r="K52" s="87"/>
      <c r="L52" s="87"/>
      <c r="M52" s="87"/>
      <c r="N52" s="87"/>
      <c r="O52" s="87"/>
    </row>
    <row r="53" spans="1:15" x14ac:dyDescent="0.25">
      <c r="A53" t="s">
        <v>237</v>
      </c>
      <c r="E53" s="13">
        <v>58.81</v>
      </c>
      <c r="F53" s="101"/>
      <c r="G53" s="13">
        <v>58.81</v>
      </c>
      <c r="H53" s="102"/>
      <c r="I53" s="90"/>
      <c r="J53" s="91"/>
      <c r="K53" s="87"/>
      <c r="L53" s="87"/>
      <c r="M53" s="87"/>
      <c r="N53" s="87"/>
      <c r="O53" s="87"/>
    </row>
    <row r="54" spans="1:15" x14ac:dyDescent="0.25">
      <c r="A54" t="s">
        <v>238</v>
      </c>
      <c r="E54" s="13">
        <v>0</v>
      </c>
      <c r="F54" s="101"/>
      <c r="G54" s="13">
        <v>9.9999999999999994E-12</v>
      </c>
      <c r="H54" s="102"/>
      <c r="I54" s="87"/>
      <c r="J54" s="87"/>
      <c r="K54" s="87"/>
      <c r="L54" s="87"/>
      <c r="M54" s="87"/>
      <c r="N54" s="87"/>
      <c r="O54" s="87"/>
    </row>
    <row r="55" spans="1:15" x14ac:dyDescent="0.25">
      <c r="A55" t="s">
        <v>251</v>
      </c>
      <c r="E55" s="13">
        <v>1364.86</v>
      </c>
      <c r="F55" s="101"/>
      <c r="G55" s="13">
        <v>1364.86</v>
      </c>
      <c r="H55" s="102"/>
      <c r="I55" s="87"/>
      <c r="J55" s="89"/>
      <c r="K55" s="87"/>
      <c r="L55" s="87"/>
      <c r="M55" s="87"/>
      <c r="N55" s="87"/>
      <c r="O55" s="87"/>
    </row>
    <row r="56" spans="1:15" x14ac:dyDescent="0.25">
      <c r="A56" t="s">
        <v>252</v>
      </c>
      <c r="E56" s="13">
        <v>232.74</v>
      </c>
      <c r="F56" s="103"/>
      <c r="G56" s="13">
        <v>232.74</v>
      </c>
      <c r="H56" s="102"/>
      <c r="I56" s="87"/>
      <c r="J56" s="87"/>
      <c r="K56" s="87"/>
      <c r="L56" s="87"/>
      <c r="M56" s="87"/>
      <c r="N56" s="87"/>
      <c r="O56" s="87"/>
    </row>
    <row r="57" spans="1:15" x14ac:dyDescent="0.25">
      <c r="A57" t="s">
        <v>239</v>
      </c>
      <c r="E57" s="13">
        <v>0</v>
      </c>
      <c r="F57" s="103"/>
      <c r="G57" s="13">
        <v>9.9999999999999994E-12</v>
      </c>
      <c r="H57" s="102"/>
      <c r="I57" s="87"/>
      <c r="J57" s="87"/>
      <c r="K57" s="87"/>
      <c r="L57" s="87"/>
      <c r="M57" s="87"/>
      <c r="N57" s="87"/>
      <c r="O57" s="87"/>
    </row>
    <row r="58" spans="1:15" x14ac:dyDescent="0.25">
      <c r="A58" t="s">
        <v>240</v>
      </c>
      <c r="E58" s="13">
        <v>90</v>
      </c>
      <c r="F58" s="101"/>
      <c r="G58" s="13">
        <v>90</v>
      </c>
      <c r="H58" s="102"/>
      <c r="I58" s="92"/>
      <c r="J58" s="87"/>
      <c r="K58" s="87"/>
      <c r="L58" s="87"/>
      <c r="M58" s="87"/>
      <c r="N58" s="87"/>
      <c r="O58" s="87"/>
    </row>
    <row r="59" spans="1:15" x14ac:dyDescent="0.25">
      <c r="A59" t="s">
        <v>241</v>
      </c>
      <c r="E59" s="13">
        <v>54.6</v>
      </c>
      <c r="F59" s="101"/>
      <c r="G59" s="13">
        <v>54.6</v>
      </c>
      <c r="H59" s="102"/>
      <c r="I59" s="87"/>
      <c r="J59" s="87"/>
      <c r="K59" s="87"/>
      <c r="L59" s="87"/>
      <c r="M59" s="87"/>
      <c r="N59" s="87"/>
      <c r="O59" s="87"/>
    </row>
    <row r="60" spans="1:15" x14ac:dyDescent="0.25">
      <c r="A60" t="s">
        <v>242</v>
      </c>
      <c r="E60" s="13">
        <v>0</v>
      </c>
      <c r="F60" s="101"/>
      <c r="G60" s="13">
        <v>9.9999999999999994E-12</v>
      </c>
      <c r="H60" s="102"/>
      <c r="I60" s="90"/>
      <c r="J60" s="89"/>
      <c r="K60" s="91"/>
      <c r="L60" s="96"/>
      <c r="M60" s="87"/>
      <c r="N60" s="87"/>
      <c r="O60" s="87"/>
    </row>
    <row r="61" spans="1:15" x14ac:dyDescent="0.25">
      <c r="A61" t="s">
        <v>243</v>
      </c>
      <c r="E61" s="13">
        <v>3285.45</v>
      </c>
      <c r="F61" s="101"/>
      <c r="G61" s="13">
        <v>3285.45</v>
      </c>
      <c r="H61" s="102"/>
      <c r="I61" s="93"/>
      <c r="J61" s="90"/>
      <c r="K61" s="91"/>
      <c r="L61" s="87"/>
      <c r="M61" s="87"/>
      <c r="N61" s="87"/>
      <c r="O61" s="87"/>
    </row>
    <row r="62" spans="1:15" x14ac:dyDescent="0.25">
      <c r="A62" t="s">
        <v>244</v>
      </c>
      <c r="E62" s="13">
        <v>5943.02</v>
      </c>
      <c r="F62" s="101"/>
      <c r="G62" s="13">
        <v>5943.02</v>
      </c>
      <c r="H62" s="102"/>
      <c r="I62" s="87"/>
      <c r="J62" s="87"/>
      <c r="K62" s="87"/>
      <c r="L62" s="87"/>
      <c r="M62" s="87"/>
      <c r="N62" s="87"/>
      <c r="O62" s="87"/>
    </row>
    <row r="63" spans="1:15" x14ac:dyDescent="0.25">
      <c r="A63" t="s">
        <v>245</v>
      </c>
      <c r="E63" s="13">
        <v>164.9</v>
      </c>
      <c r="F63" s="101"/>
      <c r="G63" s="13">
        <v>164.9</v>
      </c>
      <c r="H63" s="102"/>
      <c r="I63" s="87"/>
      <c r="J63" s="87"/>
      <c r="K63" s="87"/>
      <c r="L63" s="87"/>
      <c r="M63" s="87"/>
      <c r="N63" s="87"/>
      <c r="O63" s="87"/>
    </row>
    <row r="64" spans="1:15" x14ac:dyDescent="0.25">
      <c r="A64" s="18" t="s">
        <v>246</v>
      </c>
      <c r="E64" s="13">
        <v>514.45000000000005</v>
      </c>
      <c r="F64" s="101"/>
      <c r="G64" s="13">
        <v>514.45000000000005</v>
      </c>
      <c r="H64" s="102"/>
      <c r="I64" s="87"/>
      <c r="J64" s="87"/>
      <c r="K64" s="87"/>
      <c r="L64" s="87"/>
      <c r="M64" s="87"/>
      <c r="N64" s="87"/>
      <c r="O64" s="87"/>
    </row>
    <row r="65" spans="1:15" x14ac:dyDescent="0.25">
      <c r="A65" s="18" t="s">
        <v>247</v>
      </c>
      <c r="E65" s="13">
        <v>70.5</v>
      </c>
      <c r="F65" s="101"/>
      <c r="G65" s="13">
        <v>70.5</v>
      </c>
      <c r="H65" s="102"/>
      <c r="I65" s="93"/>
      <c r="J65" s="93"/>
      <c r="K65" s="87"/>
      <c r="L65" s="90"/>
      <c r="M65" s="91"/>
      <c r="N65" s="87"/>
      <c r="O65" s="87"/>
    </row>
    <row r="66" spans="1:15" x14ac:dyDescent="0.25">
      <c r="A66" s="18" t="s">
        <v>248</v>
      </c>
      <c r="E66" s="13">
        <v>239.44</v>
      </c>
      <c r="F66" s="101"/>
      <c r="G66" s="13">
        <v>239.44</v>
      </c>
      <c r="H66" s="102"/>
      <c r="I66" s="91"/>
      <c r="J66" s="87"/>
      <c r="K66" s="87"/>
      <c r="L66" s="87"/>
      <c r="M66" s="87"/>
      <c r="N66" s="87"/>
      <c r="O66" s="87"/>
    </row>
    <row r="67" spans="1:15" x14ac:dyDescent="0.25">
      <c r="A67" s="18" t="s">
        <v>249</v>
      </c>
      <c r="E67" s="13">
        <v>0</v>
      </c>
      <c r="F67" s="101"/>
      <c r="G67" s="13">
        <v>9.9999999999999994E-12</v>
      </c>
      <c r="H67" s="102"/>
      <c r="I67" s="87"/>
      <c r="J67" s="87"/>
      <c r="K67" s="87"/>
      <c r="L67" s="87"/>
      <c r="M67" s="88"/>
      <c r="N67" s="91"/>
      <c r="O67" s="91"/>
    </row>
    <row r="68" spans="1:15" x14ac:dyDescent="0.25">
      <c r="A68" s="18" t="s">
        <v>250</v>
      </c>
      <c r="E68" s="13">
        <v>0</v>
      </c>
      <c r="F68" s="101"/>
      <c r="G68" s="13">
        <v>9.9999999999999994E-12</v>
      </c>
      <c r="H68" s="102"/>
      <c r="I68" s="87"/>
      <c r="J68" s="87"/>
      <c r="K68" s="88"/>
      <c r="L68" s="87"/>
      <c r="M68" s="87"/>
      <c r="N68" s="87"/>
      <c r="O68" s="87"/>
    </row>
    <row r="69" spans="1:15" x14ac:dyDescent="0.25">
      <c r="A69"/>
      <c r="E69" s="13"/>
      <c r="F69" s="101"/>
      <c r="G69" s="13"/>
      <c r="H69" s="102"/>
      <c r="I69" s="93"/>
      <c r="J69" s="87"/>
      <c r="K69" s="87"/>
      <c r="L69" s="87"/>
      <c r="M69" s="87"/>
      <c r="N69" s="87"/>
      <c r="O69" s="87"/>
    </row>
    <row r="70" spans="1:15" x14ac:dyDescent="0.25">
      <c r="A70" s="18"/>
      <c r="E70" s="13"/>
      <c r="F70" s="101"/>
      <c r="G70" s="13"/>
      <c r="H70" s="102"/>
      <c r="I70" s="93"/>
      <c r="J70" s="87"/>
      <c r="K70" s="87"/>
      <c r="L70" s="87"/>
      <c r="M70" s="87"/>
      <c r="N70" s="87"/>
      <c r="O70" s="87"/>
    </row>
    <row r="71" spans="1:15" x14ac:dyDescent="0.25">
      <c r="A71"/>
      <c r="E71" s="13"/>
      <c r="F71" s="101"/>
      <c r="G71" s="13"/>
      <c r="H71" s="102"/>
      <c r="I71" s="87"/>
      <c r="J71" s="87"/>
      <c r="K71" s="87"/>
      <c r="L71" s="87"/>
      <c r="M71" s="87"/>
      <c r="N71" s="87"/>
      <c r="O71" s="87"/>
    </row>
    <row r="72" spans="1:15" x14ac:dyDescent="0.25">
      <c r="A72"/>
      <c r="E72" s="13"/>
      <c r="F72" s="101"/>
      <c r="G72" s="13"/>
      <c r="H72" s="102"/>
      <c r="I72" s="87"/>
      <c r="J72" s="87"/>
      <c r="K72" s="87"/>
      <c r="L72" s="87"/>
      <c r="M72" s="87"/>
      <c r="N72" s="87"/>
      <c r="O72" s="87"/>
    </row>
    <row r="73" spans="1:15" x14ac:dyDescent="0.25">
      <c r="A73"/>
      <c r="E73" s="13"/>
      <c r="F73" s="101"/>
      <c r="G73" s="13"/>
      <c r="H73" s="102"/>
      <c r="I73" s="90"/>
      <c r="J73" s="89"/>
      <c r="K73" s="91"/>
      <c r="L73" s="96"/>
      <c r="M73" s="87"/>
      <c r="N73" s="87"/>
      <c r="O73" s="87"/>
    </row>
    <row r="74" spans="1:15" x14ac:dyDescent="0.25">
      <c r="A74"/>
      <c r="E74" s="13"/>
      <c r="F74" s="101"/>
      <c r="G74" s="13"/>
      <c r="H74" s="102"/>
      <c r="I74" s="87"/>
      <c r="J74" s="87"/>
      <c r="K74" s="87"/>
      <c r="L74" s="87"/>
      <c r="M74" s="87"/>
      <c r="N74" s="87"/>
      <c r="O74" s="87"/>
    </row>
    <row r="75" spans="1:15" x14ac:dyDescent="0.25">
      <c r="A75"/>
      <c r="E75" s="13"/>
      <c r="F75" s="101"/>
      <c r="G75" s="13"/>
      <c r="H75" s="102"/>
      <c r="I75" s="94"/>
      <c r="J75" s="87"/>
      <c r="K75" s="87"/>
      <c r="L75" s="87"/>
      <c r="M75" s="87"/>
      <c r="N75" s="87"/>
      <c r="O75" s="87"/>
    </row>
    <row r="76" spans="1:15" x14ac:dyDescent="0.25">
      <c r="A76"/>
      <c r="E76" s="13"/>
      <c r="F76" s="101"/>
      <c r="G76" s="13"/>
      <c r="H76" s="102"/>
      <c r="I76" s="94"/>
      <c r="J76" s="87"/>
      <c r="K76" s="87"/>
      <c r="L76" s="87"/>
      <c r="M76" s="87"/>
      <c r="N76" s="87"/>
      <c r="O76" s="87"/>
    </row>
    <row r="77" spans="1:15" x14ac:dyDescent="0.25">
      <c r="A77"/>
      <c r="E77" s="13"/>
      <c r="F77" s="101"/>
      <c r="G77" s="13"/>
      <c r="H77" s="102"/>
      <c r="I77" s="87"/>
      <c r="J77" s="87"/>
      <c r="K77" s="87"/>
      <c r="L77" s="87"/>
      <c r="M77" s="87"/>
      <c r="N77" s="87"/>
      <c r="O77" s="87"/>
    </row>
    <row r="78" spans="1:15" x14ac:dyDescent="0.25">
      <c r="A78"/>
      <c r="E78" s="13"/>
      <c r="F78" s="101"/>
      <c r="G78" s="13"/>
      <c r="H78" s="102"/>
      <c r="I78" s="87"/>
      <c r="J78" s="87"/>
      <c r="K78" s="87"/>
      <c r="L78" s="87"/>
      <c r="M78" s="87"/>
      <c r="N78" s="87"/>
      <c r="O78" s="87"/>
    </row>
    <row r="79" spans="1:15" x14ac:dyDescent="0.25">
      <c r="A79"/>
      <c r="E79" s="14"/>
      <c r="F79" s="101"/>
      <c r="G79" s="14"/>
      <c r="H79" s="102"/>
      <c r="I79" s="87"/>
      <c r="J79" s="87"/>
      <c r="K79" s="87"/>
      <c r="L79" s="87"/>
      <c r="M79" s="87"/>
      <c r="N79" s="87"/>
      <c r="O79" s="87"/>
    </row>
    <row r="80" spans="1:15" x14ac:dyDescent="0.25">
      <c r="C80" s="86"/>
      <c r="E80" s="335">
        <f>SUM(E48:E79)</f>
        <v>12184.220000000001</v>
      </c>
      <c r="F80" s="101"/>
      <c r="G80" s="335">
        <f>SUM(G48:G79)</f>
        <v>12184.221000000069</v>
      </c>
      <c r="H80" s="102"/>
      <c r="I80" s="95"/>
      <c r="J80" s="95"/>
      <c r="K80" s="95"/>
      <c r="L80" s="95"/>
      <c r="M80" s="95"/>
      <c r="N80" s="95"/>
      <c r="O80" s="95"/>
    </row>
    <row r="81" spans="1:9" x14ac:dyDescent="0.25">
      <c r="E81" s="2"/>
      <c r="G81" s="9"/>
      <c r="H81" s="9"/>
    </row>
    <row r="82" spans="1:9" x14ac:dyDescent="0.25">
      <c r="A82" s="443" t="s">
        <v>157</v>
      </c>
      <c r="B82" s="444"/>
      <c r="C82" s="444"/>
      <c r="D82" s="444"/>
      <c r="E82" s="444"/>
      <c r="F82" s="444"/>
      <c r="G82" s="445"/>
    </row>
    <row r="84" spans="1:9" x14ac:dyDescent="0.25">
      <c r="A84" s="49" t="s">
        <v>231</v>
      </c>
      <c r="B84" s="48"/>
      <c r="C84" s="48"/>
      <c r="D84" s="48"/>
    </row>
    <row r="85" spans="1:9" x14ac:dyDescent="0.25">
      <c r="E85" s="40" t="s">
        <v>145</v>
      </c>
    </row>
    <row r="86" spans="1:9" x14ac:dyDescent="0.25">
      <c r="A86" t="s">
        <v>87</v>
      </c>
      <c r="E86" s="39">
        <v>0.84</v>
      </c>
    </row>
    <row r="87" spans="1:9" x14ac:dyDescent="0.25">
      <c r="A87" t="s">
        <v>88</v>
      </c>
      <c r="E87" s="37">
        <v>0.98</v>
      </c>
    </row>
    <row r="88" spans="1:9" x14ac:dyDescent="0.25">
      <c r="A88" t="s">
        <v>89</v>
      </c>
      <c r="E88" s="37">
        <v>1.08</v>
      </c>
    </row>
    <row r="89" spans="1:9" x14ac:dyDescent="0.25">
      <c r="A89" t="s">
        <v>90</v>
      </c>
      <c r="E89" s="37">
        <v>1.1599999999999999</v>
      </c>
    </row>
    <row r="90" spans="1:9" x14ac:dyDescent="0.25">
      <c r="A90" t="s">
        <v>91</v>
      </c>
      <c r="E90" s="37">
        <v>1.24</v>
      </c>
    </row>
    <row r="91" spans="1:9" x14ac:dyDescent="0.25">
      <c r="A91" t="s">
        <v>92</v>
      </c>
      <c r="E91" s="37">
        <v>1.3</v>
      </c>
    </row>
    <row r="92" spans="1:9" x14ac:dyDescent="0.25">
      <c r="A92" t="s">
        <v>201</v>
      </c>
      <c r="E92" s="37"/>
    </row>
    <row r="94" spans="1:9" x14ac:dyDescent="0.25">
      <c r="A94" s="32" t="s">
        <v>263</v>
      </c>
      <c r="B94" s="33"/>
      <c r="C94" s="33"/>
      <c r="D94" s="33"/>
      <c r="E94" s="123" t="s">
        <v>130</v>
      </c>
      <c r="F94" s="124" t="s">
        <v>185</v>
      </c>
      <c r="I94" s="125" t="s">
        <v>198</v>
      </c>
    </row>
    <row r="95" spans="1:9" x14ac:dyDescent="0.25">
      <c r="A95" t="s">
        <v>87</v>
      </c>
      <c r="C95" s="5" t="s">
        <v>124</v>
      </c>
      <c r="E95" s="57">
        <f>G95</f>
        <v>0.94</v>
      </c>
      <c r="F95" s="331">
        <v>85</v>
      </c>
      <c r="G95" s="155">
        <f>0.6+(1-0.6)*F95/100</f>
        <v>0.94</v>
      </c>
      <c r="H95" s="121"/>
      <c r="I95" s="125" t="s">
        <v>196</v>
      </c>
    </row>
    <row r="96" spans="1:9" x14ac:dyDescent="0.25">
      <c r="A96" t="s">
        <v>88</v>
      </c>
      <c r="C96" s="5" t="s">
        <v>125</v>
      </c>
      <c r="E96" s="57">
        <f t="shared" ref="E96:E100" si="1">G96</f>
        <v>1.6719999999999999</v>
      </c>
      <c r="F96" s="331">
        <v>68</v>
      </c>
      <c r="G96" s="155">
        <f>1.4+(1.8-1.4)*F96/100</f>
        <v>1.6719999999999999</v>
      </c>
      <c r="H96" s="121"/>
      <c r="I96" s="125" t="s">
        <v>197</v>
      </c>
    </row>
    <row r="97" spans="1:13" x14ac:dyDescent="0.25">
      <c r="A97" t="s">
        <v>89</v>
      </c>
      <c r="C97" s="5" t="s">
        <v>126</v>
      </c>
      <c r="E97" s="57">
        <f t="shared" si="1"/>
        <v>2.06</v>
      </c>
      <c r="F97" s="331">
        <v>52</v>
      </c>
      <c r="G97" s="155">
        <f>1.8+(2.3-1.8)*F97/100</f>
        <v>2.06</v>
      </c>
      <c r="H97" s="121"/>
      <c r="I97" s="125" t="s">
        <v>199</v>
      </c>
    </row>
    <row r="98" spans="1:13" x14ac:dyDescent="0.25">
      <c r="A98" t="s">
        <v>90</v>
      </c>
      <c r="C98" s="5" t="s">
        <v>127</v>
      </c>
      <c r="E98" s="57">
        <f t="shared" si="1"/>
        <v>2.472</v>
      </c>
      <c r="F98" s="331">
        <v>34</v>
      </c>
      <c r="G98" s="155">
        <f>2.2+(3-2.2)*F98/100</f>
        <v>2.472</v>
      </c>
      <c r="H98" s="121"/>
    </row>
    <row r="99" spans="1:13" x14ac:dyDescent="0.25">
      <c r="A99" t="s">
        <v>91</v>
      </c>
      <c r="C99" s="5" t="s">
        <v>128</v>
      </c>
      <c r="E99" s="57">
        <f t="shared" si="1"/>
        <v>3.0190000000000001</v>
      </c>
      <c r="F99" s="331">
        <v>17</v>
      </c>
      <c r="G99" s="155">
        <f>2.9+(3.6-2.9)*F99/100</f>
        <v>3.0190000000000001</v>
      </c>
      <c r="H99" s="121"/>
    </row>
    <row r="100" spans="1:13" x14ac:dyDescent="0.25">
      <c r="A100" t="s">
        <v>92</v>
      </c>
      <c r="C100" s="5" t="s">
        <v>129</v>
      </c>
      <c r="E100" s="57">
        <f t="shared" si="1"/>
        <v>3.4</v>
      </c>
      <c r="F100" s="331">
        <v>0</v>
      </c>
      <c r="G100" s="155">
        <f>3.4+(4.1-3.4)*F100/100</f>
        <v>3.4</v>
      </c>
      <c r="H100" s="121"/>
    </row>
    <row r="101" spans="1:13" x14ac:dyDescent="0.25">
      <c r="A101" t="s">
        <v>201</v>
      </c>
      <c r="C101" s="5"/>
      <c r="E101" s="57"/>
      <c r="F101" s="331">
        <v>0</v>
      </c>
      <c r="G101" s="155">
        <v>0</v>
      </c>
    </row>
    <row r="102" spans="1:13" x14ac:dyDescent="0.25">
      <c r="A102" s="438" t="s">
        <v>158</v>
      </c>
      <c r="B102" s="439"/>
      <c r="C102" s="439"/>
      <c r="D102" s="439"/>
      <c r="E102" s="439"/>
      <c r="F102" s="439"/>
      <c r="G102" s="440"/>
      <c r="I102" s="125" t="s">
        <v>200</v>
      </c>
    </row>
    <row r="103" spans="1:13" x14ac:dyDescent="0.25">
      <c r="E103" s="2"/>
    </row>
    <row r="104" spans="1:13" ht="60" x14ac:dyDescent="0.25">
      <c r="D104" s="451" t="s">
        <v>231</v>
      </c>
      <c r="E104" s="452"/>
      <c r="F104" s="136" t="s">
        <v>52</v>
      </c>
      <c r="G104" s="126" t="s">
        <v>185</v>
      </c>
      <c r="H104" s="122"/>
      <c r="I104" s="330" t="s">
        <v>232</v>
      </c>
      <c r="J104" s="136" t="s">
        <v>53</v>
      </c>
      <c r="K104" s="126" t="s">
        <v>185</v>
      </c>
      <c r="L104" s="122"/>
      <c r="M104" s="339" t="s">
        <v>50</v>
      </c>
    </row>
    <row r="105" spans="1:13" x14ac:dyDescent="0.25">
      <c r="A105" t="s">
        <v>134</v>
      </c>
      <c r="B105" s="147"/>
      <c r="C105"/>
      <c r="D105" s="449" t="str">
        <f>IF(M105&gt;0,CONCATENATE("da ",KcKd!G3," a ",KcKd!H3),CONCATENATE("da ",KcKd!B3," a ",KcKd!C3))</f>
        <v>da 0,32 a 0,51</v>
      </c>
      <c r="E105" s="450"/>
      <c r="F105" s="148">
        <f>IF(M105&gt;0,KcKd!G3+(KcKd!H3-KcKd!G3)*'DATI INPUT'!G105,KcKd!B3+(KcKd!C3-KcKd!B3)*G105)</f>
        <v>0.51</v>
      </c>
      <c r="G105" s="149">
        <v>1</v>
      </c>
      <c r="H105" s="150"/>
      <c r="I105" s="332" t="str">
        <f>IF(M105&gt;0,CONCATENATE("da ",KcKd!I3," a ",KcKd!J3),CONCATENATE("da ",KcKd!D3," a ",KcKd!E3))</f>
        <v>da 2,6 a 4,2</v>
      </c>
      <c r="J105" s="148">
        <f>IF(M105&gt;0,KcKd!I3+(KcKd!J3-KcKd!I3)*'DATI INPUT'!K105,KcKd!D3+(KcKd!E3-KcKd!D3)*K105)</f>
        <v>4.2</v>
      </c>
      <c r="K105" s="149">
        <v>1</v>
      </c>
      <c r="L105" s="150"/>
      <c r="M105" s="336"/>
    </row>
    <row r="106" spans="1:13" x14ac:dyDescent="0.25">
      <c r="A106" t="s">
        <v>233</v>
      </c>
      <c r="B106" s="147"/>
      <c r="C106"/>
      <c r="D106" s="436" t="str">
        <f>IF(M106&gt;0,CONCATENATE("da ",KcKd!G4," a ",KcKd!H4),CONCATENATE("da ",KcKd!B4," a ",KcKd!C4))</f>
        <v>da 0,67 a 0,8</v>
      </c>
      <c r="E106" s="437"/>
      <c r="F106" s="151">
        <f>IF(M106&gt;0,KcKd!G4+(KcKd!H4-KcKd!G4)*'DATI INPUT'!G106,KcKd!B4+(KcKd!C4-KcKd!B4)*G106)</f>
        <v>0.8</v>
      </c>
      <c r="G106" s="152">
        <v>1</v>
      </c>
      <c r="H106" s="150"/>
      <c r="I106" s="333" t="str">
        <f>IF(M106&gt;0,CONCATENATE("da ",KcKd!I4," a ",KcKd!J4),CONCATENATE("da ",KcKd!D4," a ",KcKd!E4))</f>
        <v>da 5,51 a 6,55</v>
      </c>
      <c r="J106" s="151">
        <f>IF(M106&gt;0,KcKd!I4+(KcKd!J4-KcKd!I4)*'DATI INPUT'!K106,KcKd!D4+(KcKd!E4-KcKd!D4)*K106)</f>
        <v>6.55</v>
      </c>
      <c r="K106" s="152">
        <v>1</v>
      </c>
      <c r="L106" s="150"/>
      <c r="M106" s="337"/>
    </row>
    <row r="107" spans="1:13" x14ac:dyDescent="0.25">
      <c r="A107" t="s">
        <v>234</v>
      </c>
      <c r="B107" s="147"/>
      <c r="C107"/>
      <c r="D107" s="436" t="str">
        <f>IF(M107&gt;0,CONCATENATE("da ",KcKd!G5," a ",KcKd!H5),CONCATENATE("da ",KcKd!B5," a ",KcKd!C5))</f>
        <v>da 0,38 a 0,63</v>
      </c>
      <c r="E107" s="437"/>
      <c r="F107" s="151">
        <f>IF(M107&gt;0,KcKd!G5+(KcKd!H5-KcKd!G5)*'DATI INPUT'!G107,KcKd!B5+(KcKd!C5-KcKd!B5)*G107)</f>
        <v>0.63</v>
      </c>
      <c r="G107" s="152">
        <v>1</v>
      </c>
      <c r="H107" s="150"/>
      <c r="I107" s="333" t="str">
        <f>IF(M107&gt;0,CONCATENATE("da ",KcKd!I5," a ",KcKd!J5),CONCATENATE("da ",KcKd!D5," a ",KcKd!E5))</f>
        <v>da 3,11 a 5,2</v>
      </c>
      <c r="J107" s="151">
        <f>IF(M107&gt;0,KcKd!I5+(KcKd!J5-KcKd!I5)*'DATI INPUT'!K107,KcKd!D5+(KcKd!E5-KcKd!D5)*K107)</f>
        <v>5.2</v>
      </c>
      <c r="K107" s="152">
        <v>1</v>
      </c>
      <c r="L107" s="150"/>
      <c r="M107" s="337"/>
    </row>
    <row r="108" spans="1:13" x14ac:dyDescent="0.25">
      <c r="A108" t="s">
        <v>235</v>
      </c>
      <c r="B108" s="147"/>
      <c r="C108"/>
      <c r="D108" s="436" t="str">
        <f>IF(M108&gt;0,CONCATENATE("da ",KcKd!G6," a ",KcKd!H6),CONCATENATE("da ",KcKd!B6," a ",KcKd!C6))</f>
        <v>da 0,3 a 0,43</v>
      </c>
      <c r="E108" s="437"/>
      <c r="F108" s="151">
        <f>IF(M108&gt;0,KcKd!G6+(KcKd!H6-KcKd!G6)*'DATI INPUT'!G108,KcKd!B6+(KcKd!C6-KcKd!B6)*G108)</f>
        <v>0.43</v>
      </c>
      <c r="G108" s="152">
        <v>1</v>
      </c>
      <c r="H108" s="150"/>
      <c r="I108" s="333" t="str">
        <f>IF(M108&gt;0,CONCATENATE("da ",KcKd!I6," a ",KcKd!J6),CONCATENATE("da ",KcKd!D6," a ",KcKd!E6))</f>
        <v>da 2,5 a 3,55</v>
      </c>
      <c r="J108" s="151">
        <f>IF(M108&gt;0,KcKd!I6+(KcKd!J6-KcKd!I6)*'DATI INPUT'!K108,KcKd!D6+(KcKd!E6-KcKd!D6)*K108)</f>
        <v>3.55</v>
      </c>
      <c r="K108" s="152">
        <v>1</v>
      </c>
      <c r="L108" s="150"/>
      <c r="M108" s="337"/>
    </row>
    <row r="109" spans="1:13" x14ac:dyDescent="0.25">
      <c r="A109" t="s">
        <v>236</v>
      </c>
      <c r="B109" s="147"/>
      <c r="C109"/>
      <c r="D109" s="436" t="str">
        <f>IF(M109&gt;0,CONCATENATE("da ",KcKd!G7," a ",KcKd!H7),CONCATENATE("da ",KcKd!B7," a ",KcKd!C7))</f>
        <v>da 1,07 a 1,33</v>
      </c>
      <c r="E109" s="437"/>
      <c r="F109" s="151">
        <f>IF(M109&gt;0,KcKd!G7+(KcKd!H7-KcKd!G7)*'DATI INPUT'!G109,KcKd!B7+(KcKd!C7-KcKd!B7)*G109)</f>
        <v>1.33</v>
      </c>
      <c r="G109" s="152">
        <v>1</v>
      </c>
      <c r="H109" s="150"/>
      <c r="I109" s="333" t="str">
        <f>IF(M109&gt;0,CONCATENATE("da ",KcKd!I7," a ",KcKd!J7),CONCATENATE("da ",KcKd!D7," a ",KcKd!E7))</f>
        <v>da 8,79 a 10,93</v>
      </c>
      <c r="J109" s="151">
        <f>IF(M109&gt;0,KcKd!I7+(KcKd!J7-KcKd!I7)*'DATI INPUT'!K109,KcKd!D7+(KcKd!E7-KcKd!D7)*K109)</f>
        <v>10.93</v>
      </c>
      <c r="K109" s="152">
        <v>1</v>
      </c>
      <c r="L109" s="150"/>
      <c r="M109" s="337"/>
    </row>
    <row r="110" spans="1:13" x14ac:dyDescent="0.25">
      <c r="A110" t="s">
        <v>237</v>
      </c>
      <c r="B110" s="147"/>
      <c r="C110"/>
      <c r="D110" s="436" t="str">
        <f>IF(M110&gt;0,CONCATENATE("da ",KcKd!G8," a ",KcKd!H8),CONCATENATE("da ",KcKd!B8," a ",KcKd!C8))</f>
        <v>da 0,8 a 0,91</v>
      </c>
      <c r="E110" s="437"/>
      <c r="F110" s="151">
        <f>IF(M110&gt;0,KcKd!G8+(KcKd!H8-KcKd!G8)*'DATI INPUT'!G110,KcKd!B8+(KcKd!C8-KcKd!B8)*G110)</f>
        <v>0.91</v>
      </c>
      <c r="G110" s="152">
        <v>1</v>
      </c>
      <c r="H110" s="150"/>
      <c r="I110" s="333" t="str">
        <f>IF(M110&gt;0,CONCATENATE("da ",KcKd!I8," a ",KcKd!J8),CONCATENATE("da ",KcKd!D8," a ",KcKd!E8))</f>
        <v>da 6,55 a 7,49</v>
      </c>
      <c r="J110" s="151">
        <f>IF(M110&gt;0,KcKd!I8+(KcKd!J8-KcKd!I8)*'DATI INPUT'!K110,KcKd!D8+(KcKd!E8-KcKd!D8)*K110)</f>
        <v>7.49</v>
      </c>
      <c r="K110" s="152">
        <v>1</v>
      </c>
      <c r="L110" s="150"/>
      <c r="M110" s="337"/>
    </row>
    <row r="111" spans="1:13" x14ac:dyDescent="0.25">
      <c r="A111" t="s">
        <v>238</v>
      </c>
      <c r="B111" s="147"/>
      <c r="C111"/>
      <c r="D111" s="436" t="str">
        <f>IF(M111&gt;0,CONCATENATE("da ",KcKd!G9," a ",KcKd!H9),CONCATENATE("da ",KcKd!B9," a ",KcKd!C9))</f>
        <v>da 0,95 a 1</v>
      </c>
      <c r="E111" s="437"/>
      <c r="F111" s="151">
        <f>IF(M111&gt;0,KcKd!G9+(KcKd!H9-KcKd!G9)*'DATI INPUT'!G111,KcKd!B9+(KcKd!C9-KcKd!B9)*G111)</f>
        <v>1</v>
      </c>
      <c r="G111" s="152">
        <v>1</v>
      </c>
      <c r="H111" s="150"/>
      <c r="I111" s="333" t="str">
        <f>IF(M111&gt;0,CONCATENATE("da ",KcKd!I9," a ",KcKd!J9),CONCATENATE("da ",KcKd!D9," a ",KcKd!E9))</f>
        <v>da 7,82 a 8,19</v>
      </c>
      <c r="J111" s="151">
        <f>IF(M111&gt;0,KcKd!I9+(KcKd!J9-KcKd!I9)*'DATI INPUT'!K111,KcKd!D9+(KcKd!E9-KcKd!D9)*K111)</f>
        <v>8.19</v>
      </c>
      <c r="K111" s="152">
        <v>1</v>
      </c>
      <c r="L111" s="150"/>
      <c r="M111" s="337"/>
    </row>
    <row r="112" spans="1:13" x14ac:dyDescent="0.25">
      <c r="A112" t="s">
        <v>251</v>
      </c>
      <c r="B112" s="147"/>
      <c r="C112"/>
      <c r="D112" s="436" t="str">
        <f>IF(M112&gt;0,CONCATENATE("da ",KcKd!G10," a ",KcKd!H10),CONCATENATE("da ",KcKd!B10," a ",KcKd!C10))</f>
        <v>da 1 a 1,13</v>
      </c>
      <c r="E112" s="437"/>
      <c r="F112" s="151">
        <f>IF(M112&gt;0,KcKd!G10+(KcKd!H10-KcKd!G10)*'DATI INPUT'!G112,KcKd!B10+(KcKd!C10-KcKd!B10)*G112)</f>
        <v>1.1299999999999999</v>
      </c>
      <c r="G112" s="152">
        <v>1</v>
      </c>
      <c r="H112" s="150"/>
      <c r="I112" s="333" t="str">
        <f>IF(M112&gt;0,CONCATENATE("da ",KcKd!I10," a ",KcKd!J10),CONCATENATE("da ",KcKd!D10," a ",KcKd!E10))</f>
        <v>da 8,21 a 9,3</v>
      </c>
      <c r="J112" s="151">
        <f>IF(M112&gt;0,KcKd!I10+(KcKd!J10-KcKd!I10)*'DATI INPUT'!K112,KcKd!D10+(KcKd!E10-KcKd!D10)*K112)</f>
        <v>9.3000000000000007</v>
      </c>
      <c r="K112" s="152">
        <v>1</v>
      </c>
      <c r="L112" s="150"/>
      <c r="M112" s="337"/>
    </row>
    <row r="113" spans="1:13" x14ac:dyDescent="0.25">
      <c r="A113" t="s">
        <v>252</v>
      </c>
      <c r="B113" s="147"/>
      <c r="C113"/>
      <c r="D113" s="436" t="str">
        <f>IF(M113&gt;0,CONCATENATE("da ",KcKd!G11," a ",KcKd!H11),CONCATENATE("da ",KcKd!B11," a ",KcKd!C11))</f>
        <v>da 0,55 a 0,58</v>
      </c>
      <c r="E113" s="437"/>
      <c r="F113" s="151">
        <f>IF(M113&gt;0,KcKd!G11+(KcKd!H11-KcKd!G11)*'DATI INPUT'!G113,KcKd!B11+(KcKd!C11-KcKd!B11)*G113)</f>
        <v>0.57999999999999996</v>
      </c>
      <c r="G113" s="152">
        <v>1</v>
      </c>
      <c r="H113" s="150"/>
      <c r="I113" s="333" t="str">
        <f>IF(M113&gt;0,CONCATENATE("da ",KcKd!I11," a ",KcKd!J11),CONCATENATE("da ",KcKd!D11," a ",KcKd!E11))</f>
        <v>da 4,5 a 4,78</v>
      </c>
      <c r="J113" s="151">
        <f>IF(M113&gt;0,KcKd!I11+(KcKd!J11-KcKd!I11)*'DATI INPUT'!K113,KcKd!D11+(KcKd!E11-KcKd!D11)*K113)</f>
        <v>4.78</v>
      </c>
      <c r="K113" s="152">
        <v>1</v>
      </c>
      <c r="L113" s="150"/>
      <c r="M113" s="337"/>
    </row>
    <row r="114" spans="1:13" x14ac:dyDescent="0.25">
      <c r="A114" t="s">
        <v>239</v>
      </c>
      <c r="B114" s="147"/>
      <c r="C114"/>
      <c r="D114" s="436" t="str">
        <f>IF(M114&gt;0,CONCATENATE("da ",KcKd!G12," a ",KcKd!H12),CONCATENATE("da ",KcKd!B12," a ",KcKd!C12))</f>
        <v>da 0,87 a 1,11</v>
      </c>
      <c r="E114" s="437"/>
      <c r="F114" s="151">
        <f>IF(M114&gt;0,KcKd!G12+(KcKd!H12-KcKd!G12)*'DATI INPUT'!G114,KcKd!B12+(KcKd!C12-KcKd!B12)*G114)</f>
        <v>1.1100000000000001</v>
      </c>
      <c r="G114" s="152">
        <v>1</v>
      </c>
      <c r="H114" s="150"/>
      <c r="I114" s="333" t="str">
        <f>IF(M114&gt;0,CONCATENATE("da ",KcKd!I12," a ",KcKd!J12),CONCATENATE("da ",KcKd!D12," a ",KcKd!E12))</f>
        <v>da 7,11 a 9,12</v>
      </c>
      <c r="J114" s="151">
        <f>IF(M114&gt;0,KcKd!I12+(KcKd!J12-KcKd!I12)*'DATI INPUT'!K114,KcKd!D12+(KcKd!E12-KcKd!D12)*K114)</f>
        <v>9.1199999999999992</v>
      </c>
      <c r="K114" s="152">
        <v>1</v>
      </c>
      <c r="L114" s="150"/>
      <c r="M114" s="337"/>
    </row>
    <row r="115" spans="1:13" x14ac:dyDescent="0.25">
      <c r="A115" t="s">
        <v>240</v>
      </c>
      <c r="B115" s="147"/>
      <c r="C115"/>
      <c r="D115" s="436" t="str">
        <f>IF(M115&gt;0,CONCATENATE("da ",KcKd!G13," a ",KcKd!H13),CONCATENATE("da ",KcKd!B13," a ",KcKd!C13))</f>
        <v>da 1,07 a 1,52</v>
      </c>
      <c r="E115" s="437"/>
      <c r="F115" s="151">
        <f>IF(M115&gt;0,KcKd!G13+(KcKd!H13-KcKd!G13)*'DATI INPUT'!G115,KcKd!B13+(KcKd!C13-KcKd!B13)*G115)</f>
        <v>1.52</v>
      </c>
      <c r="G115" s="152">
        <v>1</v>
      </c>
      <c r="H115" s="150"/>
      <c r="I115" s="333" t="str">
        <f>IF(M115&gt;0,CONCATENATE("da ",KcKd!I13," a ",KcKd!J13),CONCATENATE("da ",KcKd!D13," a ",KcKd!E13))</f>
        <v>da 8,8 a 12,45</v>
      </c>
      <c r="J115" s="151">
        <f>IF(M115&gt;0,KcKd!I13+(KcKd!J13-KcKd!I13)*'DATI INPUT'!K115,KcKd!D13+(KcKd!E13-KcKd!D13)*K115)</f>
        <v>12.45</v>
      </c>
      <c r="K115" s="152">
        <v>1</v>
      </c>
      <c r="L115" s="150"/>
      <c r="M115" s="337"/>
    </row>
    <row r="116" spans="1:13" x14ac:dyDescent="0.25">
      <c r="A116" t="s">
        <v>241</v>
      </c>
      <c r="B116" s="147"/>
      <c r="C116"/>
      <c r="D116" s="436" t="str">
        <f>IF(M116&gt;0,CONCATENATE("da ",KcKd!G14," a ",KcKd!H14),CONCATENATE("da ",KcKd!B14," a ",KcKd!C14))</f>
        <v>da 0,72 a 1,04</v>
      </c>
      <c r="E116" s="437"/>
      <c r="F116" s="151">
        <f>IF(M116&gt;0,KcKd!G14+(KcKd!H14-KcKd!G14)*'DATI INPUT'!G116,KcKd!B14+(KcKd!C14-KcKd!B14)*G116)</f>
        <v>1.04</v>
      </c>
      <c r="G116" s="152">
        <v>1</v>
      </c>
      <c r="H116" s="150"/>
      <c r="I116" s="333" t="str">
        <f>IF(M116&gt;0,CONCATENATE("da ",KcKd!I14," a ",KcKd!J14),CONCATENATE("da ",KcKd!D14," a ",KcKd!E14))</f>
        <v>da 5,9 a 8,5</v>
      </c>
      <c r="J116" s="151">
        <f>IF(M116&gt;0,KcKd!I14+(KcKd!J14-KcKd!I14)*'DATI INPUT'!K116,KcKd!D14+(KcKd!E14-KcKd!D14)*K116)</f>
        <v>8.5</v>
      </c>
      <c r="K116" s="152">
        <v>1</v>
      </c>
      <c r="L116" s="150"/>
      <c r="M116" s="337"/>
    </row>
    <row r="117" spans="1:13" x14ac:dyDescent="0.25">
      <c r="A117" t="s">
        <v>242</v>
      </c>
      <c r="B117" s="147"/>
      <c r="C117"/>
      <c r="D117" s="436" t="str">
        <f>IF(M117&gt;0,CONCATENATE("da ",KcKd!G15," a ",KcKd!H15),CONCATENATE("da ",KcKd!B15," a ",KcKd!C15))</f>
        <v>da 0,92 a 1,16</v>
      </c>
      <c r="E117" s="437"/>
      <c r="F117" s="151">
        <f>IF(M117&gt;0,KcKd!G15+(KcKd!H15-KcKd!G15)*'DATI INPUT'!G117,KcKd!B15+(KcKd!C15-KcKd!B15)*G117)</f>
        <v>1.1599999999999999</v>
      </c>
      <c r="G117" s="152">
        <v>1</v>
      </c>
      <c r="H117" s="150"/>
      <c r="I117" s="333" t="str">
        <f>IF(M117&gt;0,CONCATENATE("da ",KcKd!I15," a ",KcKd!J15),CONCATENATE("da ",KcKd!D15," a ",KcKd!E15))</f>
        <v>da 7,55 a 9,48</v>
      </c>
      <c r="J117" s="151">
        <f>IF(M117&gt;0,KcKd!I15+(KcKd!J15-KcKd!I15)*'DATI INPUT'!K117,KcKd!D15+(KcKd!E15-KcKd!D15)*K117)</f>
        <v>9.48</v>
      </c>
      <c r="K117" s="152">
        <v>1</v>
      </c>
      <c r="L117" s="150"/>
      <c r="M117" s="337"/>
    </row>
    <row r="118" spans="1:13" x14ac:dyDescent="0.25">
      <c r="A118" t="s">
        <v>243</v>
      </c>
      <c r="B118" s="147"/>
      <c r="C118"/>
      <c r="D118" s="436" t="str">
        <f>IF(M118&gt;0,CONCATENATE("da ",KcKd!G16," a ",KcKd!H16),CONCATENATE("da ",KcKd!B16," a ",KcKd!C16))</f>
        <v>da 0,43 a 0,91</v>
      </c>
      <c r="E118" s="437"/>
      <c r="F118" s="151">
        <f>IF(M118&gt;0,KcKd!G16+(KcKd!H16-KcKd!G16)*'DATI INPUT'!G118,KcKd!B16+(KcKd!C16-KcKd!B16)*G118)</f>
        <v>0.91</v>
      </c>
      <c r="G118" s="152">
        <v>1</v>
      </c>
      <c r="H118" s="150"/>
      <c r="I118" s="333" t="str">
        <f>IF(M118&gt;0,CONCATENATE("da ",KcKd!I16," a ",KcKd!J16),CONCATENATE("da ",KcKd!D16," a ",KcKd!E16))</f>
        <v>da 3,5 a 7,5</v>
      </c>
      <c r="J118" s="151">
        <f>IF(M118&gt;0,KcKd!I16+(KcKd!J16-KcKd!I16)*'DATI INPUT'!K118,KcKd!D16+(KcKd!E16-KcKd!D16)*K118)</f>
        <v>7.5</v>
      </c>
      <c r="K118" s="152">
        <v>1</v>
      </c>
      <c r="L118" s="150"/>
      <c r="M118" s="337"/>
    </row>
    <row r="119" spans="1:13" x14ac:dyDescent="0.25">
      <c r="A119" t="s">
        <v>244</v>
      </c>
      <c r="B119" s="147"/>
      <c r="C119"/>
      <c r="D119" s="436" t="str">
        <f>IF(M119&gt;0,CONCATENATE("da ",KcKd!G17," a ",KcKd!H17),CONCATENATE("da ",KcKd!B17," a ",KcKd!C17))</f>
        <v>da 0,55 a 1,09</v>
      </c>
      <c r="E119" s="437"/>
      <c r="F119" s="151">
        <f>IF(M119&gt;0,KcKd!G17+(KcKd!H17-KcKd!G17)*'DATI INPUT'!G119,KcKd!B17+(KcKd!C17-KcKd!B17)*G119)</f>
        <v>1.0900000000000001</v>
      </c>
      <c r="G119" s="152">
        <v>1</v>
      </c>
      <c r="H119" s="150"/>
      <c r="I119" s="333" t="str">
        <f>IF(M119&gt;0,CONCATENATE("da ",KcKd!I17," a ",KcKd!J17),CONCATENATE("da ",KcKd!D17," a ",KcKd!E17))</f>
        <v>da 4,5 a 8,92</v>
      </c>
      <c r="J119" s="151">
        <f>IF(M119&gt;0,KcKd!I17+(KcKd!J17-KcKd!I17)*'DATI INPUT'!K119,KcKd!D17+(KcKd!E17-KcKd!D17)*K119)</f>
        <v>8.92</v>
      </c>
      <c r="K119" s="152">
        <v>1</v>
      </c>
      <c r="L119" s="150"/>
      <c r="M119" s="337"/>
    </row>
    <row r="120" spans="1:13" x14ac:dyDescent="0.25">
      <c r="A120" t="s">
        <v>245</v>
      </c>
      <c r="B120" s="147"/>
      <c r="C120"/>
      <c r="D120" s="436" t="str">
        <f>IF(M120&gt;0,CONCATENATE("da ",KcKd!G18," a ",KcKd!H18),CONCATENATE("da ",KcKd!B18," a ",KcKd!C18))</f>
        <v>da 4,84 a 7,42</v>
      </c>
      <c r="E120" s="437"/>
      <c r="F120" s="151">
        <f>IF(M120&gt;0,KcKd!G18+(KcKd!H18-KcKd!G18)*'DATI INPUT'!G120,KcKd!B18+(KcKd!C18-KcKd!B18)*G120)</f>
        <v>4.84</v>
      </c>
      <c r="G120" s="152">
        <v>0</v>
      </c>
      <c r="H120" s="150"/>
      <c r="I120" s="333" t="str">
        <f>IF(M120&gt;0,CONCATENATE("da ",KcKd!I18," a ",KcKd!J18),CONCATENATE("da ",KcKd!D18," a ",KcKd!E18))</f>
        <v>da 39,67 a 60,88</v>
      </c>
      <c r="J120" s="151">
        <f>IF(M120&gt;0,KcKd!I18+(KcKd!J18-KcKd!I18)*'DATI INPUT'!K120,KcKd!D18+(KcKd!E18-KcKd!D18)*K120)</f>
        <v>39.67</v>
      </c>
      <c r="K120" s="152">
        <v>0</v>
      </c>
      <c r="L120" s="150"/>
      <c r="M120" s="337"/>
    </row>
    <row r="121" spans="1:13" x14ac:dyDescent="0.25">
      <c r="A121" t="s">
        <v>246</v>
      </c>
      <c r="B121" s="147"/>
      <c r="C121"/>
      <c r="D121" s="436" t="str">
        <f>IF(M121&gt;0,CONCATENATE("da ",KcKd!G19," a ",KcKd!H19),CONCATENATE("da ",KcKd!B19," a ",KcKd!C19))</f>
        <v>da 3,64 a 6,28</v>
      </c>
      <c r="E121" s="437"/>
      <c r="F121" s="151">
        <f>IF(M121&gt;0,KcKd!G19+(KcKd!H19-KcKd!G19)*'DATI INPUT'!G121,KcKd!B19+(KcKd!C19-KcKd!B19)*G121)</f>
        <v>3.64</v>
      </c>
      <c r="G121" s="152">
        <v>0</v>
      </c>
      <c r="H121" s="150"/>
      <c r="I121" s="333" t="str">
        <f>IF(M121&gt;0,CONCATENATE("da ",KcKd!I19," a ",KcKd!J19),CONCATENATE("da ",KcKd!D19," a ",KcKd!E19))</f>
        <v>da 29,82 a 51,47</v>
      </c>
      <c r="J121" s="151">
        <f>IF(M121&gt;0,KcKd!I19+(KcKd!J19-KcKd!I19)*'DATI INPUT'!K121,KcKd!D19+(KcKd!E19-KcKd!D19)*K121)</f>
        <v>29.82</v>
      </c>
      <c r="K121" s="152">
        <v>0</v>
      </c>
      <c r="L121" s="150"/>
      <c r="M121" s="337"/>
    </row>
    <row r="122" spans="1:13" x14ac:dyDescent="0.25">
      <c r="A122" t="s">
        <v>247</v>
      </c>
      <c r="B122" s="147"/>
      <c r="C122"/>
      <c r="D122" s="436" t="str">
        <f>IF(M122&gt;0,CONCATENATE("da ",KcKd!G20," a ",KcKd!H20),CONCATENATE("da ",KcKd!B20," a ",KcKd!C20))</f>
        <v>da 1,76 a 2,38</v>
      </c>
      <c r="E122" s="437"/>
      <c r="F122" s="151">
        <f>IF(M122&gt;0,KcKd!G20+(KcKd!H20-KcKd!G20)*'DATI INPUT'!G122,KcKd!B20+(KcKd!C20-KcKd!B20)*G122)</f>
        <v>2.1320000000000001</v>
      </c>
      <c r="G122" s="152">
        <v>0.6</v>
      </c>
      <c r="H122" s="150"/>
      <c r="I122" s="333" t="str">
        <f>IF(M122&gt;0,CONCATENATE("da ",KcKd!I20," a ",KcKd!J20),CONCATENATE("da ",KcKd!D20," a ",KcKd!E20))</f>
        <v>da 14,43 a 19,55</v>
      </c>
      <c r="J122" s="151">
        <f>IF(M122&gt;0,KcKd!I20+(KcKd!J20-KcKd!I20)*'DATI INPUT'!K122,KcKd!D20+(KcKd!E20-KcKd!D20)*K122)</f>
        <v>17.501999999999999</v>
      </c>
      <c r="K122" s="152">
        <v>0.6</v>
      </c>
      <c r="L122" s="150"/>
      <c r="M122" s="337"/>
    </row>
    <row r="123" spans="1:13" x14ac:dyDescent="0.25">
      <c r="A123" t="s">
        <v>248</v>
      </c>
      <c r="B123" s="147"/>
      <c r="C123"/>
      <c r="D123" s="436" t="str">
        <f>IF(M123&gt;0,CONCATENATE("da ",KcKd!G21," a ",KcKd!H21),CONCATENATE("da ",KcKd!B21," a ",KcKd!C21))</f>
        <v>da 1,54 a 2,61</v>
      </c>
      <c r="E123" s="437"/>
      <c r="F123" s="151">
        <f>IF(M123&gt;0,KcKd!G21+(KcKd!H21-KcKd!G21)*'DATI INPUT'!G123,KcKd!B21+(KcKd!C21-KcKd!B21)*G123)</f>
        <v>2.1819999999999999</v>
      </c>
      <c r="G123" s="152">
        <v>0.6</v>
      </c>
      <c r="H123" s="150"/>
      <c r="I123" s="333" t="str">
        <f>IF(M123&gt;0,CONCATENATE("da ",KcKd!I21," a ",KcKd!J21),CONCATENATE("da ",KcKd!D21," a ",KcKd!E21))</f>
        <v>da 12,59 a 21,41</v>
      </c>
      <c r="J123" s="151">
        <f>IF(M123&gt;0,KcKd!I21+(KcKd!J21-KcKd!I21)*'DATI INPUT'!K123,KcKd!D21+(KcKd!E21-KcKd!D21)*K123)</f>
        <v>17.881999999999998</v>
      </c>
      <c r="K123" s="152">
        <v>0.6</v>
      </c>
      <c r="L123" s="150"/>
      <c r="M123" s="337"/>
    </row>
    <row r="124" spans="1:13" x14ac:dyDescent="0.25">
      <c r="A124" t="s">
        <v>249</v>
      </c>
      <c r="B124" s="147"/>
      <c r="C124"/>
      <c r="D124" s="436" t="str">
        <f>IF(M124&gt;0,CONCATENATE("da ",KcKd!G22," a ",KcKd!H22),CONCATENATE("da ",KcKd!B22," a ",KcKd!C22))</f>
        <v>da 6,06 a 10,44</v>
      </c>
      <c r="E124" s="437"/>
      <c r="F124" s="151">
        <f>IF(M124&gt;0,KcKd!G22+(KcKd!H22-KcKd!G22)*'DATI INPUT'!G124,KcKd!B22+(KcKd!C22-KcKd!B22)*G124)</f>
        <v>6.06</v>
      </c>
      <c r="G124" s="152">
        <v>0</v>
      </c>
      <c r="H124" s="150"/>
      <c r="I124" s="333" t="str">
        <f>IF(M124&gt;0,CONCATENATE("da ",KcKd!I22," a ",KcKd!J22),CONCATENATE("da ",KcKd!D22," a ",KcKd!E22))</f>
        <v>da 49,72 a 85,6</v>
      </c>
      <c r="J124" s="151">
        <f>IF(M124&gt;0,KcKd!I22+(KcKd!J22-KcKd!I22)*'DATI INPUT'!K124,KcKd!D22+(KcKd!E22-KcKd!D22)*K124)</f>
        <v>49.72</v>
      </c>
      <c r="K124" s="152">
        <v>0</v>
      </c>
      <c r="L124" s="150"/>
      <c r="M124" s="337"/>
    </row>
    <row r="125" spans="1:13" x14ac:dyDescent="0.25">
      <c r="A125" t="s">
        <v>250</v>
      </c>
      <c r="B125" s="147"/>
      <c r="C125"/>
      <c r="D125" s="436" t="str">
        <f>IF(M125&gt;0,CONCATENATE("da ",KcKd!G23," a ",KcKd!H23),CONCATENATE("da ",KcKd!B23," a ",KcKd!C23))</f>
        <v>da 1,04 a 1,64</v>
      </c>
      <c r="E125" s="437"/>
      <c r="F125" s="151">
        <f>IF(M125&gt;0,KcKd!G23+(KcKd!H23-KcKd!G23)*'DATI INPUT'!G125,KcKd!B23+(KcKd!C23-KcKd!B23)*G125)</f>
        <v>1.64</v>
      </c>
      <c r="G125" s="152">
        <v>1</v>
      </c>
      <c r="H125" s="150"/>
      <c r="I125" s="333" t="str">
        <f>IF(M125&gt;0,CONCATENATE("da ",KcKd!I23," a ",KcKd!J23),CONCATENATE("da ",KcKd!D23," a ",KcKd!E23))</f>
        <v>da 8,56 a 13,45</v>
      </c>
      <c r="J125" s="151">
        <f>IF(M125&gt;0,KcKd!I23+(KcKd!J23-KcKd!I23)*'DATI INPUT'!K125,KcKd!D23+(KcKd!E23-KcKd!D23)*K125)</f>
        <v>13.45</v>
      </c>
      <c r="K125" s="152">
        <v>1</v>
      </c>
      <c r="L125" s="150"/>
      <c r="M125" s="337"/>
    </row>
    <row r="126" spans="1:13" x14ac:dyDescent="0.25">
      <c r="A126"/>
      <c r="B126" s="147"/>
      <c r="C126"/>
      <c r="D126" s="436" t="str">
        <f>IF(M126&gt;0,CONCATENATE("da ",KcKd!G24," a ",KcKd!H24),CONCATENATE("da ",KcKd!B24," a ",KcKd!C24))</f>
        <v xml:space="preserve">da  a </v>
      </c>
      <c r="E126" s="437"/>
      <c r="F126" s="151">
        <f>IF(M126&gt;0,KcKd!G24+(KcKd!H24-KcKd!G24)*'DATI INPUT'!G126,KcKd!B24+(KcKd!C24-KcKd!B24)*G126)</f>
        <v>0</v>
      </c>
      <c r="G126" s="152">
        <v>0</v>
      </c>
      <c r="H126" s="150"/>
      <c r="I126" s="333" t="str">
        <f>IF(M126&gt;0,CONCATENATE("da ",KcKd!I24," a ",KcKd!J24),CONCATENATE("da ",KcKd!D24," a ",KcKd!E24))</f>
        <v xml:space="preserve">da  a </v>
      </c>
      <c r="J126" s="151">
        <f>IF(M126&gt;0,KcKd!I24+(KcKd!J24-KcKd!I24)*'DATI INPUT'!K126,KcKd!D24+(KcKd!E24-KcKd!D24)*K126)</f>
        <v>0</v>
      </c>
      <c r="K126" s="152">
        <f t="shared" ref="K126:K136" si="2">G126</f>
        <v>0</v>
      </c>
      <c r="L126" s="150"/>
      <c r="M126" s="337"/>
    </row>
    <row r="127" spans="1:13" x14ac:dyDescent="0.25">
      <c r="A127"/>
      <c r="B127" s="147"/>
      <c r="C127"/>
      <c r="D127" s="436" t="str">
        <f>IF(M127&gt;0,CONCATENATE("da ",KcKd!G25," a ",KcKd!H25),CONCATENATE("da ",KcKd!B25," a ",KcKd!C25))</f>
        <v xml:space="preserve">da  a </v>
      </c>
      <c r="E127" s="437"/>
      <c r="F127" s="151">
        <f>IF(M127&gt;0,KcKd!G25+(KcKd!H25-KcKd!G25)*'DATI INPUT'!G127,KcKd!B25+(KcKd!C25-KcKd!B25)*G127)</f>
        <v>0</v>
      </c>
      <c r="G127" s="152">
        <v>0.15</v>
      </c>
      <c r="H127" s="150"/>
      <c r="I127" s="333" t="str">
        <f>IF(M127&gt;0,CONCATENATE("da ",KcKd!I25," a ",KcKd!J25),CONCATENATE("da ",KcKd!D25," a ",KcKd!E25))</f>
        <v xml:space="preserve">da  a </v>
      </c>
      <c r="J127" s="151">
        <f>IF(M127&gt;0,KcKd!I25+(KcKd!J25-KcKd!I25)*'DATI INPUT'!K127,KcKd!D25+(KcKd!E25-KcKd!D25)*K127)</f>
        <v>0</v>
      </c>
      <c r="K127" s="152">
        <f t="shared" si="2"/>
        <v>0.15</v>
      </c>
      <c r="L127" s="150"/>
      <c r="M127" s="337"/>
    </row>
    <row r="128" spans="1:13" x14ac:dyDescent="0.25">
      <c r="A128"/>
      <c r="B128" s="147"/>
      <c r="C128"/>
      <c r="D128" s="436" t="str">
        <f>IF(M128&gt;0,CONCATENATE("da ",KcKd!G26," a ",KcKd!H26),CONCATENATE("da ",KcKd!B26," a ",KcKd!C26))</f>
        <v xml:space="preserve">da  a </v>
      </c>
      <c r="E128" s="437"/>
      <c r="F128" s="151">
        <f>IF(M128&gt;0,KcKd!G26+(KcKd!H26-KcKd!G26)*'DATI INPUT'!G128,KcKd!B26+(KcKd!C26-KcKd!B26)*G128)</f>
        <v>0</v>
      </c>
      <c r="G128" s="152">
        <v>0.85</v>
      </c>
      <c r="H128" s="150"/>
      <c r="I128" s="333" t="str">
        <f>IF(M128&gt;0,CONCATENATE("da ",KcKd!I26," a ",KcKd!J26),CONCATENATE("da ",KcKd!D26," a ",KcKd!E26))</f>
        <v xml:space="preserve">da  a </v>
      </c>
      <c r="J128" s="151">
        <f>IF(M128&gt;0,KcKd!I26+(KcKd!J26-KcKd!I26)*'DATI INPUT'!K128,KcKd!D26+(KcKd!E26-KcKd!D26)*K128)</f>
        <v>0</v>
      </c>
      <c r="K128" s="152">
        <f t="shared" si="2"/>
        <v>0.85</v>
      </c>
      <c r="L128" s="150"/>
      <c r="M128" s="337"/>
    </row>
    <row r="129" spans="1:13" x14ac:dyDescent="0.25">
      <c r="A129"/>
      <c r="B129" s="147"/>
      <c r="C129"/>
      <c r="D129" s="436" t="str">
        <f>IF(M129&gt;0,CONCATENATE("da ",KcKd!G27," a ",KcKd!H27),CONCATENATE("da ",KcKd!B27," a ",KcKd!C27))</f>
        <v xml:space="preserve">da  a </v>
      </c>
      <c r="E129" s="437"/>
      <c r="F129" s="151">
        <f>IF(M129&gt;0,KcKd!G27+(KcKd!H27-KcKd!G27)*'DATI INPUT'!G129,KcKd!B27+(KcKd!C27-KcKd!B27)*G129)</f>
        <v>0</v>
      </c>
      <c r="G129" s="152">
        <v>0</v>
      </c>
      <c r="H129" s="150"/>
      <c r="I129" s="333" t="str">
        <f>IF(M129&gt;0,CONCATENATE("da ",KcKd!I27," a ",KcKd!J27),CONCATENATE("da ",KcKd!D27," a ",KcKd!E27))</f>
        <v xml:space="preserve">da  a </v>
      </c>
      <c r="J129" s="151">
        <f>IF(M129&gt;0,KcKd!I27+(KcKd!J27-KcKd!I27)*'DATI INPUT'!K129,KcKd!D27+(KcKd!E27-KcKd!D27)*K129)</f>
        <v>0</v>
      </c>
      <c r="K129" s="152">
        <f t="shared" si="2"/>
        <v>0</v>
      </c>
      <c r="L129" s="150"/>
      <c r="M129" s="337"/>
    </row>
    <row r="130" spans="1:13" x14ac:dyDescent="0.25">
      <c r="A130"/>
      <c r="B130" s="147"/>
      <c r="C130"/>
      <c r="D130" s="436" t="str">
        <f>IF(M130&gt;0,CONCATENATE("da ",KcKd!G28," a ",KcKd!H28),CONCATENATE("da ",KcKd!B28," a ",KcKd!C28))</f>
        <v xml:space="preserve">da  a </v>
      </c>
      <c r="E130" s="437"/>
      <c r="F130" s="151">
        <f>IF(M130&gt;0,KcKd!G28+(KcKd!H28-KcKd!G28)*'DATI INPUT'!G130,KcKd!B28+(KcKd!C28-KcKd!B28)*G130)</f>
        <v>0</v>
      </c>
      <c r="G130" s="152">
        <v>0.85</v>
      </c>
      <c r="H130" s="150"/>
      <c r="I130" s="333" t="str">
        <f>IF(M130&gt;0,CONCATENATE("da ",KcKd!I28," a ",KcKd!J28),CONCATENATE("da ",KcKd!D28," a ",KcKd!E28))</f>
        <v xml:space="preserve">da  a </v>
      </c>
      <c r="J130" s="151">
        <f>IF(M130&gt;0,KcKd!I28+(KcKd!J28-KcKd!I28)*'DATI INPUT'!K130,KcKd!D28+(KcKd!E28-KcKd!D28)*K130)</f>
        <v>0</v>
      </c>
      <c r="K130" s="152">
        <f t="shared" si="2"/>
        <v>0.85</v>
      </c>
      <c r="L130" s="150"/>
      <c r="M130" s="337"/>
    </row>
    <row r="131" spans="1:13" x14ac:dyDescent="0.25">
      <c r="A131"/>
      <c r="B131" s="147"/>
      <c r="C131"/>
      <c r="D131" s="436" t="str">
        <f>IF(M131&gt;0,CONCATENATE("da ",KcKd!G29," a ",KcKd!H29),CONCATENATE("da ",KcKd!B29," a ",KcKd!C29))</f>
        <v xml:space="preserve">da  a </v>
      </c>
      <c r="E131" s="437"/>
      <c r="F131" s="151">
        <f>IF(M131&gt;0,KcKd!G29+(KcKd!H29-KcKd!G29)*'DATI INPUT'!G131,KcKd!B29+(KcKd!C29-KcKd!B29)*G131)</f>
        <v>0</v>
      </c>
      <c r="G131" s="152">
        <v>0.55000000000000004</v>
      </c>
      <c r="H131" s="150"/>
      <c r="I131" s="333" t="str">
        <f>IF(M131&gt;0,CONCATENATE("da ",KcKd!I29," a ",KcKd!J29),CONCATENATE("da ",KcKd!D29," a ",KcKd!E29))</f>
        <v xml:space="preserve">da  a </v>
      </c>
      <c r="J131" s="151">
        <f>IF(M131&gt;0,KcKd!I29+(KcKd!J29-KcKd!I29)*'DATI INPUT'!K131,KcKd!D29+(KcKd!E29-KcKd!D29)*K131)</f>
        <v>0</v>
      </c>
      <c r="K131" s="152">
        <f t="shared" si="2"/>
        <v>0.55000000000000004</v>
      </c>
      <c r="L131" s="150"/>
      <c r="M131" s="337"/>
    </row>
    <row r="132" spans="1:13" x14ac:dyDescent="0.25">
      <c r="A132"/>
      <c r="B132" s="147"/>
      <c r="C132"/>
      <c r="D132" s="436" t="str">
        <f>IF(M132&gt;0,CONCATENATE("da ",KcKd!G30," a ",KcKd!H30),CONCATENATE("da ",KcKd!B30," a ",KcKd!C30))</f>
        <v xml:space="preserve">da  a </v>
      </c>
      <c r="E132" s="437"/>
      <c r="F132" s="151">
        <f>IF(M132&gt;0,KcKd!G30+(KcKd!H30-KcKd!G30)*'DATI INPUT'!G132,KcKd!B30+(KcKd!C30-KcKd!B30)*G132)</f>
        <v>0</v>
      </c>
      <c r="G132" s="152">
        <v>0</v>
      </c>
      <c r="H132" s="150"/>
      <c r="I132" s="333" t="str">
        <f>IF(M132&gt;0,CONCATENATE("da ",KcKd!I30," a ",KcKd!J30),CONCATENATE("da ",KcKd!D30," a ",KcKd!E30))</f>
        <v xml:space="preserve">da  a </v>
      </c>
      <c r="J132" s="151">
        <f>IF(M132&gt;0,KcKd!I30+(KcKd!J30-KcKd!I30)*'DATI INPUT'!K132,KcKd!D30+(KcKd!E30-KcKd!D30)*K132)</f>
        <v>0</v>
      </c>
      <c r="K132" s="152">
        <f t="shared" si="2"/>
        <v>0</v>
      </c>
      <c r="L132" s="150"/>
      <c r="M132" s="337"/>
    </row>
    <row r="133" spans="1:13" x14ac:dyDescent="0.25">
      <c r="A133"/>
      <c r="B133" s="147"/>
      <c r="C133"/>
      <c r="D133" s="436" t="str">
        <f>IF(M133&gt;0,CONCATENATE("da ",KcKd!G31," a ",KcKd!H31),CONCATENATE("da ",KcKd!B31," a ",KcKd!C31))</f>
        <v xml:space="preserve">da  a </v>
      </c>
      <c r="E133" s="437"/>
      <c r="F133" s="151">
        <f>IF(M133&gt;0,KcKd!G31+(KcKd!H31-KcKd!G31)*'DATI INPUT'!G133,KcKd!B31+(KcKd!C31-KcKd!B31)*G133)</f>
        <v>0</v>
      </c>
      <c r="G133" s="152">
        <v>0</v>
      </c>
      <c r="H133" s="150"/>
      <c r="I133" s="333" t="str">
        <f>IF(M133&gt;0,CONCATENATE("da ",KcKd!I31," a ",KcKd!J31),CONCATENATE("da ",KcKd!D31," a ",KcKd!E31))</f>
        <v xml:space="preserve">da  a </v>
      </c>
      <c r="J133" s="151">
        <f>IF(M133&gt;0,KcKd!I31+(KcKd!J31-KcKd!I31)*'DATI INPUT'!K133,KcKd!D31+(KcKd!E31-KcKd!D31)*K133)</f>
        <v>0</v>
      </c>
      <c r="K133" s="152">
        <f t="shared" si="2"/>
        <v>0</v>
      </c>
      <c r="L133" s="150"/>
      <c r="M133" s="337" t="s">
        <v>51</v>
      </c>
    </row>
    <row r="134" spans="1:13" x14ac:dyDescent="0.25">
      <c r="A134"/>
      <c r="B134" s="147"/>
      <c r="C134"/>
      <c r="D134" s="436" t="str">
        <f>IF(M134&gt;0,CONCATENATE("da ",KcKd!G32," a ",KcKd!H32),CONCATENATE("da ",KcKd!B32," a ",KcKd!C32))</f>
        <v xml:space="preserve">da  a </v>
      </c>
      <c r="E134" s="437"/>
      <c r="F134" s="151">
        <f>IF(M134&gt;0,KcKd!G32+(KcKd!H32-KcKd!G32)*'DATI INPUT'!G134,KcKd!B32+(KcKd!C32-KcKd!B32)*G134)</f>
        <v>0</v>
      </c>
      <c r="G134" s="152">
        <v>1</v>
      </c>
      <c r="H134" s="150"/>
      <c r="I134" s="333" t="str">
        <f>IF(M134&gt;0,CONCATENATE("da ",KcKd!I32," a ",KcKd!J32),CONCATENATE("da ",KcKd!D32," a ",KcKd!E32))</f>
        <v xml:space="preserve">da  a </v>
      </c>
      <c r="J134" s="151">
        <f>IF(M134&gt;0,KcKd!I32+(KcKd!J32-KcKd!I32)*'DATI INPUT'!K134,KcKd!D32+(KcKd!E32-KcKd!D32)*K134)</f>
        <v>0</v>
      </c>
      <c r="K134" s="152">
        <f t="shared" si="2"/>
        <v>1</v>
      </c>
      <c r="L134" s="150"/>
      <c r="M134" s="337" t="s">
        <v>51</v>
      </c>
    </row>
    <row r="135" spans="1:13" x14ac:dyDescent="0.25">
      <c r="A135"/>
      <c r="B135" s="147"/>
      <c r="C135"/>
      <c r="D135" s="436" t="str">
        <f>IF(M135&gt;0,CONCATENATE("da ",KcKd!G33," a ",KcKd!H33),CONCATENATE("da ",KcKd!B33," a ",KcKd!C33))</f>
        <v xml:space="preserve">da  a </v>
      </c>
      <c r="E135" s="437"/>
      <c r="F135" s="151">
        <f>IF(M135&gt;0,KcKd!G33+(KcKd!H33-KcKd!G33)*'DATI INPUT'!G135,KcKd!B33+(KcKd!C33-KcKd!B33)*G135)</f>
        <v>0</v>
      </c>
      <c r="G135" s="152">
        <v>0</v>
      </c>
      <c r="H135" s="150"/>
      <c r="I135" s="333" t="str">
        <f>IF(M135&gt;0,CONCATENATE("da ",KcKd!I33," a ",KcKd!J33),CONCATENATE("da ",KcKd!D33," a ",KcKd!E33))</f>
        <v xml:space="preserve">da  a </v>
      </c>
      <c r="J135" s="151">
        <f>IF(M135&gt;0,KcKd!I33+(KcKd!J33-KcKd!I33)*'DATI INPUT'!K135,KcKd!D33+(KcKd!E33-KcKd!D33)*K135)</f>
        <v>0</v>
      </c>
      <c r="K135" s="152">
        <f t="shared" si="2"/>
        <v>0</v>
      </c>
      <c r="L135" s="150"/>
      <c r="M135" s="337"/>
    </row>
    <row r="136" spans="1:13" x14ac:dyDescent="0.25">
      <c r="A136"/>
      <c r="B136" s="147"/>
      <c r="C136"/>
      <c r="D136" s="441" t="str">
        <f>IF(M136&gt;0,CONCATENATE("da ",KcKd!G34," a ",KcKd!H34),CONCATENATE("da ",KcKd!B34," a ",KcKd!C34))</f>
        <v xml:space="preserve">da  a </v>
      </c>
      <c r="E136" s="442"/>
      <c r="F136" s="153">
        <f>IF(M136&gt;0,KcKd!G34+(KcKd!H34-KcKd!G34)*'DATI INPUT'!G136,KcKd!B34+(KcKd!C34-KcKd!B34)*G136)</f>
        <v>0</v>
      </c>
      <c r="G136" s="154">
        <v>0.85</v>
      </c>
      <c r="H136" s="150"/>
      <c r="I136" s="334" t="str">
        <f>IF(M136&gt;0,CONCATENATE("da ",KcKd!I34," a ",KcKd!J34),CONCATENATE("da ",KcKd!D34," a ",KcKd!E34))</f>
        <v xml:space="preserve">da  a </v>
      </c>
      <c r="J136" s="153">
        <f>IF(M136&gt;0,KcKd!I34+(KcKd!J34-KcKd!I34)*'DATI INPUT'!K136,KcKd!D34+(KcKd!E34-KcKd!D34)*K136)</f>
        <v>0</v>
      </c>
      <c r="K136" s="154">
        <f t="shared" si="2"/>
        <v>0.85</v>
      </c>
      <c r="L136" s="150"/>
      <c r="M136" s="338"/>
    </row>
    <row r="139" spans="1:13" x14ac:dyDescent="0.25">
      <c r="A139" s="443" t="s">
        <v>216</v>
      </c>
      <c r="B139" s="444"/>
      <c r="C139" s="444"/>
      <c r="D139" s="444"/>
      <c r="E139" s="444"/>
      <c r="F139" s="444"/>
      <c r="G139" s="445"/>
    </row>
    <row r="140" spans="1:13" ht="6" customHeight="1" x14ac:dyDescent="0.25"/>
    <row r="141" spans="1:13" ht="30" customHeight="1" x14ac:dyDescent="0.25">
      <c r="A141" s="405" t="s">
        <v>205</v>
      </c>
      <c r="B141" s="405"/>
      <c r="C141" s="164" t="s">
        <v>209</v>
      </c>
      <c r="D141" s="423" t="s">
        <v>208</v>
      </c>
      <c r="E141" s="423"/>
      <c r="F141" s="174" t="s">
        <v>4</v>
      </c>
    </row>
    <row r="142" spans="1:13" x14ac:dyDescent="0.25">
      <c r="A142" s="424" t="str">
        <f>RiepilogoTariffe!A56</f>
        <v>Unico Occupante</v>
      </c>
      <c r="B142" s="425"/>
      <c r="C142" s="159">
        <v>1</v>
      </c>
      <c r="D142" s="400">
        <f>RiepilogoTariffe!D56</f>
        <v>0</v>
      </c>
      <c r="E142" s="401"/>
      <c r="F142" s="175"/>
    </row>
    <row r="143" spans="1:13" x14ac:dyDescent="0.25">
      <c r="A143" s="426">
        <f>RiepilogoTariffe!A57</f>
        <v>0</v>
      </c>
      <c r="B143" s="427"/>
      <c r="C143" s="162">
        <v>2</v>
      </c>
      <c r="D143" s="432">
        <f>RiepilogoTariffe!D57</f>
        <v>0</v>
      </c>
      <c r="E143" s="433"/>
      <c r="F143" s="175"/>
    </row>
    <row r="146" spans="1:7" x14ac:dyDescent="0.25">
      <c r="A146" s="438" t="s">
        <v>218</v>
      </c>
      <c r="B146" s="439"/>
      <c r="C146" s="439"/>
      <c r="D146" s="439"/>
      <c r="E146" s="439"/>
      <c r="F146" s="439"/>
      <c r="G146" s="440"/>
    </row>
    <row r="147" spans="1:7" ht="6" customHeight="1" x14ac:dyDescent="0.25"/>
    <row r="148" spans="1:7" ht="30" customHeight="1" x14ac:dyDescent="0.25">
      <c r="A148" s="405" t="s">
        <v>205</v>
      </c>
      <c r="B148" s="405"/>
      <c r="C148" s="164" t="s">
        <v>206</v>
      </c>
      <c r="D148" s="423" t="s">
        <v>208</v>
      </c>
      <c r="E148" s="423"/>
      <c r="F148" s="174"/>
    </row>
    <row r="149" spans="1:7" x14ac:dyDescent="0.25">
      <c r="A149" s="406" t="str">
        <f>RiepilogoTariffe!A63</f>
        <v>Attività artigianali di produzione beni specifici</v>
      </c>
      <c r="B149" s="407"/>
      <c r="C149" s="159">
        <v>1</v>
      </c>
      <c r="D149" s="400">
        <f>RiepilogoTariffe!D63</f>
        <v>0</v>
      </c>
      <c r="E149" s="401"/>
      <c r="F149" s="175"/>
    </row>
    <row r="150" spans="1:7" x14ac:dyDescent="0.25">
      <c r="A150" s="428" t="str">
        <f>RiepilogoTariffe!A64</f>
        <v>Attività industriali con capannoni di produzione</v>
      </c>
      <c r="B150" s="429"/>
      <c r="C150" s="161">
        <v>2</v>
      </c>
      <c r="D150" s="434">
        <f>RiepilogoTariffe!D64</f>
        <v>0</v>
      </c>
      <c r="E150" s="435"/>
      <c r="F150" s="175"/>
    </row>
    <row r="151" spans="1:7" x14ac:dyDescent="0.25">
      <c r="A151" s="428" t="str">
        <f>RiepilogoTariffe!A65</f>
        <v>Carrozzeria, autofficina, elettrauto</v>
      </c>
      <c r="B151" s="429"/>
      <c r="C151" s="161">
        <v>3</v>
      </c>
      <c r="D151" s="434">
        <f>RiepilogoTariffe!D65</f>
        <v>0</v>
      </c>
      <c r="E151" s="435"/>
      <c r="F151" s="175"/>
    </row>
    <row r="152" spans="1:7" x14ac:dyDescent="0.25">
      <c r="A152" s="428" t="str">
        <f>RiepilogoTariffe!A66</f>
        <v>Musei, biblioteche, scuole, associazioni, luoghi di culto/Case di cura e riposo</v>
      </c>
      <c r="B152" s="429"/>
      <c r="C152" s="161">
        <v>4</v>
      </c>
      <c r="D152" s="434">
        <f>RiepilogoTariffe!D66</f>
        <v>0</v>
      </c>
      <c r="E152" s="435"/>
      <c r="F152" s="175"/>
    </row>
    <row r="153" spans="1:7" x14ac:dyDescent="0.25">
      <c r="F153" s="175"/>
    </row>
    <row r="154" spans="1:7" x14ac:dyDescent="0.25">
      <c r="F154" s="175"/>
    </row>
  </sheetData>
  <mergeCells count="58">
    <mergeCell ref="A1:G1"/>
    <mergeCell ref="D122:E122"/>
    <mergeCell ref="D105:E105"/>
    <mergeCell ref="D106:E106"/>
    <mergeCell ref="D104:E104"/>
    <mergeCell ref="D114:E114"/>
    <mergeCell ref="D107:E107"/>
    <mergeCell ref="D108:E108"/>
    <mergeCell ref="D111:E111"/>
    <mergeCell ref="D112:E112"/>
    <mergeCell ref="D109:E109"/>
    <mergeCell ref="D115:E115"/>
    <mergeCell ref="D116:E116"/>
    <mergeCell ref="A27:G27"/>
    <mergeCell ref="A45:G45"/>
    <mergeCell ref="A82:G82"/>
    <mergeCell ref="A142:B142"/>
    <mergeCell ref="D136:E136"/>
    <mergeCell ref="D125:E125"/>
    <mergeCell ref="D126:E126"/>
    <mergeCell ref="D127:E127"/>
    <mergeCell ref="D133:E133"/>
    <mergeCell ref="A141:B141"/>
    <mergeCell ref="A139:G139"/>
    <mergeCell ref="D130:E130"/>
    <mergeCell ref="D131:E131"/>
    <mergeCell ref="D142:E142"/>
    <mergeCell ref="D134:E134"/>
    <mergeCell ref="D132:E132"/>
    <mergeCell ref="D135:E135"/>
    <mergeCell ref="D141:E141"/>
    <mergeCell ref="J48:J50"/>
    <mergeCell ref="I48:I50"/>
    <mergeCell ref="D151:E151"/>
    <mergeCell ref="D113:E113"/>
    <mergeCell ref="D110:E110"/>
    <mergeCell ref="D120:E120"/>
    <mergeCell ref="D121:E121"/>
    <mergeCell ref="D123:E123"/>
    <mergeCell ref="D124:E124"/>
    <mergeCell ref="D117:E117"/>
    <mergeCell ref="D119:E119"/>
    <mergeCell ref="D152:E152"/>
    <mergeCell ref="D143:E143"/>
    <mergeCell ref="D128:E128"/>
    <mergeCell ref="A102:G102"/>
    <mergeCell ref="D129:E129"/>
    <mergeCell ref="A143:B143"/>
    <mergeCell ref="D118:E118"/>
    <mergeCell ref="A152:B152"/>
    <mergeCell ref="A149:B149"/>
    <mergeCell ref="A146:G146"/>
    <mergeCell ref="A148:B148"/>
    <mergeCell ref="D148:E148"/>
    <mergeCell ref="D149:E149"/>
    <mergeCell ref="A151:B151"/>
    <mergeCell ref="A150:B150"/>
    <mergeCell ref="D150:E150"/>
  </mergeCells>
  <phoneticPr fontId="30" type="noConversion"/>
  <conditionalFormatting sqref="E86">
    <cfRule type="iconSet" priority="45">
      <iconSet iconSet="3Symbols">
        <cfvo type="percent" val="0"/>
        <cfvo type="percent" val="33"/>
        <cfvo type="percent" val="67"/>
      </iconSet>
    </cfRule>
  </conditionalFormatting>
  <conditionalFormatting sqref="E87">
    <cfRule type="iconSet" priority="44">
      <iconSet iconSet="3Symbols">
        <cfvo type="percent" val="0"/>
        <cfvo type="percent" val="33"/>
        <cfvo type="percent" val="67"/>
      </iconSet>
    </cfRule>
  </conditionalFormatting>
  <conditionalFormatting sqref="E88">
    <cfRule type="iconSet" priority="43">
      <iconSet iconSet="3Symbols">
        <cfvo type="percent" val="0"/>
        <cfvo type="percent" val="33"/>
        <cfvo type="percent" val="67"/>
      </iconSet>
    </cfRule>
  </conditionalFormatting>
  <conditionalFormatting sqref="E89">
    <cfRule type="iconSet" priority="42">
      <iconSet iconSet="3Symbols">
        <cfvo type="percent" val="0"/>
        <cfvo type="percent" val="33"/>
        <cfvo type="percent" val="67"/>
      </iconSet>
    </cfRule>
  </conditionalFormatting>
  <conditionalFormatting sqref="E90">
    <cfRule type="iconSet" priority="41">
      <iconSet iconSet="3Symbols">
        <cfvo type="percent" val="0"/>
        <cfvo type="percent" val="33"/>
        <cfvo type="percent" val="67"/>
      </iconSet>
    </cfRule>
  </conditionalFormatting>
  <conditionalFormatting sqref="E91">
    <cfRule type="iconSet" priority="40">
      <iconSet iconSet="3Symbols">
        <cfvo type="percent" val="0"/>
        <cfvo type="percent" val="33"/>
        <cfvo type="percent" val="67"/>
      </iconSet>
    </cfRule>
  </conditionalFormatting>
  <conditionalFormatting sqref="E92"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E95:E100">
    <cfRule type="iconSet" priority="81">
      <iconSet reverse="1">
        <cfvo type="percent" val="0"/>
        <cfvo type="num" val="0.61"/>
        <cfvo type="num" val="1"/>
      </iconSet>
    </cfRule>
    <cfRule type="iconSet" priority="82">
      <iconSet reverse="1">
        <cfvo type="percent" val="0"/>
        <cfvo type="percent" val="0.61"/>
        <cfvo type="percent" val="1"/>
      </iconSet>
    </cfRule>
    <cfRule type="iconSet" priority="83">
      <iconSet reverse="1">
        <cfvo type="percent" val="0"/>
        <cfvo type="num" val="1" gte="0"/>
        <cfvo type="num" val="1"/>
      </iconSet>
    </cfRule>
  </conditionalFormatting>
  <conditionalFormatting sqref="E96">
    <cfRule type="iconSet" priority="80">
      <iconSet reverse="1">
        <cfvo type="percent" val="0"/>
        <cfvo type="num" val="1.41"/>
        <cfvo type="num" val="1.8"/>
      </iconSet>
    </cfRule>
  </conditionalFormatting>
  <conditionalFormatting sqref="E97">
    <cfRule type="iconSet" priority="79">
      <iconSet reverse="1">
        <cfvo type="percent" val="0"/>
        <cfvo type="num" val="1.81"/>
        <cfvo type="num" val="2.2999999999999998"/>
      </iconSet>
    </cfRule>
  </conditionalFormatting>
  <conditionalFormatting sqref="E98">
    <cfRule type="iconSet" priority="78">
      <iconSet reverse="1">
        <cfvo type="percent" val="0"/>
        <cfvo type="num" val="2.21"/>
        <cfvo type="num" val="3"/>
      </iconSet>
    </cfRule>
  </conditionalFormatting>
  <conditionalFormatting sqref="E99">
    <cfRule type="iconSet" priority="77">
      <iconSet reverse="1">
        <cfvo type="percent" val="0"/>
        <cfvo type="num" val="2.91"/>
        <cfvo type="num" val="3.6"/>
      </iconSet>
    </cfRule>
  </conditionalFormatting>
  <conditionalFormatting sqref="E100">
    <cfRule type="iconSet" priority="76">
      <iconSet reverse="1">
        <cfvo type="percent" val="0"/>
        <cfvo type="num" val="3.41"/>
        <cfvo type="num" val="4.0999999999999996"/>
      </iconSet>
    </cfRule>
  </conditionalFormatting>
  <conditionalFormatting sqref="E101">
    <cfRule type="iconSet" priority="1">
      <iconSet reverse="1">
        <cfvo type="percent" val="0"/>
        <cfvo type="num" val="1.81"/>
        <cfvo type="num" val="2.2999999999999998"/>
      </iconSet>
    </cfRule>
    <cfRule type="iconSet" priority="2">
      <iconSet reverse="1">
        <cfvo type="percent" val="0"/>
        <cfvo type="num" val="0.61"/>
        <cfvo type="num" val="1"/>
      </iconSet>
    </cfRule>
    <cfRule type="iconSet" priority="3">
      <iconSet reverse="1">
        <cfvo type="percent" val="0"/>
        <cfvo type="percent" val="0.61"/>
        <cfvo type="percent" val="1"/>
      </iconSet>
    </cfRule>
    <cfRule type="iconSet" priority="4">
      <iconSet reverse="1">
        <cfvo type="percent" val="0"/>
        <cfvo type="num" val="1" gte="0"/>
        <cfvo type="num" val="1"/>
      </iconSet>
    </cfRule>
  </conditionalFormatting>
  <pageMargins left="0.43" right="0.32" top="0.7" bottom="0.46" header="0.31496062992125984" footer="0.31496062992125984"/>
  <pageSetup paperSize="9" scale="63" fitToHeight="0" orientation="landscape" r:id="rId1"/>
  <headerFooter>
    <oddHeader>&amp;R1 - INDIVIDUAZIONE COSTI FISSI E COSTI VARIABILI</oddHeader>
  </headerFooter>
  <rowBreaks count="3" manualBreakCount="3">
    <brk id="26" max="16383" man="1"/>
    <brk id="81" max="16383" man="1"/>
    <brk id="1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77"/>
  <sheetViews>
    <sheetView zoomScale="85" zoomScaleNormal="85" workbookViewId="0">
      <selection activeCell="B4" sqref="B4"/>
    </sheetView>
  </sheetViews>
  <sheetFormatPr defaultRowHeight="15" x14ac:dyDescent="0.25"/>
  <cols>
    <col min="1" max="1" width="55.5703125" customWidth="1"/>
    <col min="2" max="2" width="12.5703125" bestFit="1" customWidth="1"/>
    <col min="3" max="3" width="10.140625" bestFit="1" customWidth="1"/>
  </cols>
  <sheetData>
    <row r="1" spans="1:5" x14ac:dyDescent="0.25">
      <c r="A1" s="98"/>
      <c r="B1" s="1"/>
      <c r="C1" s="97"/>
      <c r="D1" s="5"/>
      <c r="E1" s="4"/>
    </row>
    <row r="2" spans="1:5" ht="15" customHeight="1" x14ac:dyDescent="0.25">
      <c r="A2" s="456" t="s">
        <v>174</v>
      </c>
      <c r="B2" s="457"/>
      <c r="C2" s="458"/>
      <c r="D2" s="417" t="s">
        <v>195</v>
      </c>
      <c r="E2" s="418"/>
    </row>
    <row r="3" spans="1:5" ht="6" customHeight="1" x14ac:dyDescent="0.25">
      <c r="A3" s="307"/>
      <c r="B3" s="1"/>
      <c r="C3" s="308"/>
      <c r="D3" s="417"/>
      <c r="E3" s="418"/>
    </row>
    <row r="4" spans="1:5" x14ac:dyDescent="0.25">
      <c r="A4" s="307" t="s">
        <v>172</v>
      </c>
      <c r="B4" s="2">
        <f>'DATI INPUT'!C39</f>
        <v>108366.06201000001</v>
      </c>
      <c r="C4" s="308">
        <f>B4/B6</f>
        <v>0.89892831607818813</v>
      </c>
      <c r="D4" s="417"/>
      <c r="E4" s="418"/>
    </row>
    <row r="5" spans="1:5" x14ac:dyDescent="0.25">
      <c r="A5" s="307" t="s">
        <v>173</v>
      </c>
      <c r="B5" s="311">
        <f>'DATI INPUT'!E80</f>
        <v>12184.220000000001</v>
      </c>
      <c r="C5" s="309">
        <f>B5/B6</f>
        <v>0.10107168392181184</v>
      </c>
      <c r="D5" s="417"/>
      <c r="E5" s="418"/>
    </row>
    <row r="6" spans="1:5" x14ac:dyDescent="0.25">
      <c r="A6" s="310"/>
      <c r="B6" s="318">
        <f>SUM(B4:B5)</f>
        <v>120550.28201000001</v>
      </c>
      <c r="C6" s="317">
        <f>SUM(C4:C5)</f>
        <v>1</v>
      </c>
      <c r="D6" s="5"/>
      <c r="E6" s="4"/>
    </row>
    <row r="7" spans="1:5" x14ac:dyDescent="0.25">
      <c r="A7" s="98"/>
      <c r="B7" s="1"/>
      <c r="C7" s="97"/>
      <c r="D7" s="5"/>
      <c r="E7" s="4"/>
    </row>
    <row r="8" spans="1:5" x14ac:dyDescent="0.25">
      <c r="A8" s="98"/>
      <c r="B8" s="1"/>
      <c r="C8" s="97"/>
      <c r="D8" s="5"/>
      <c r="E8" s="4"/>
    </row>
    <row r="9" spans="1:5" ht="15" customHeight="1" x14ac:dyDescent="0.25">
      <c r="A9" s="456" t="s">
        <v>175</v>
      </c>
      <c r="B9" s="457"/>
      <c r="C9" s="458"/>
      <c r="D9" s="417" t="s">
        <v>195</v>
      </c>
      <c r="E9" s="418"/>
    </row>
    <row r="10" spans="1:5" ht="6" customHeight="1" x14ac:dyDescent="0.25">
      <c r="A10" s="307"/>
      <c r="B10" s="1"/>
      <c r="C10" s="308"/>
      <c r="D10" s="417"/>
      <c r="E10" s="418"/>
    </row>
    <row r="11" spans="1:5" x14ac:dyDescent="0.25">
      <c r="A11" s="459" t="s">
        <v>176</v>
      </c>
      <c r="B11" s="460"/>
      <c r="C11" s="461"/>
      <c r="D11" s="417"/>
      <c r="E11" s="418"/>
    </row>
    <row r="12" spans="1:5" ht="6" customHeight="1" x14ac:dyDescent="0.25">
      <c r="A12" s="312"/>
      <c r="C12" s="308"/>
      <c r="D12" s="417"/>
      <c r="E12" s="418"/>
    </row>
    <row r="13" spans="1:5" x14ac:dyDescent="0.25">
      <c r="A13" s="307" t="str">
        <f>'DATI INPUT'!A86</f>
        <v>Utenze domestiche con 1 componenti nucleo familiare</v>
      </c>
      <c r="B13" s="2">
        <f>'DATI INPUT'!E30*'DATI INPUT'!E95*365</f>
        <v>70678.599999999991</v>
      </c>
      <c r="C13" s="308"/>
      <c r="D13" s="417"/>
      <c r="E13" s="418"/>
    </row>
    <row r="14" spans="1:5" x14ac:dyDescent="0.25">
      <c r="A14" s="307" t="str">
        <f>'DATI INPUT'!A87</f>
        <v>Utenze domestiche con 2 componenti nucleo familiare</v>
      </c>
      <c r="B14" s="2">
        <f>'DATI INPUT'!E31*'DATI INPUT'!E96*365</f>
        <v>130599.92</v>
      </c>
      <c r="C14" s="308"/>
      <c r="D14" s="5"/>
      <c r="E14" s="4"/>
    </row>
    <row r="15" spans="1:5" x14ac:dyDescent="0.25">
      <c r="A15" s="307" t="str">
        <f>'DATI INPUT'!A88</f>
        <v>Utenze domestiche con 3 componenti nucleo familiare</v>
      </c>
      <c r="B15" s="2">
        <f>'DATI INPUT'!E32*'DATI INPUT'!E97*365</f>
        <v>141357.20000000001</v>
      </c>
      <c r="C15" s="308"/>
      <c r="D15" s="5"/>
      <c r="E15" s="4"/>
    </row>
    <row r="16" spans="1:5" x14ac:dyDescent="0.25">
      <c r="A16" s="307" t="str">
        <f>'DATI INPUT'!A89</f>
        <v>Utenze domestiche con 4 componenti nucleo familiare</v>
      </c>
      <c r="B16" s="2">
        <f>'DATI INPUT'!E33*'DATI INPUT'!E98*365</f>
        <v>62257.320000000007</v>
      </c>
      <c r="C16" s="308"/>
      <c r="D16" s="5"/>
      <c r="E16" s="4"/>
    </row>
    <row r="17" spans="1:5" x14ac:dyDescent="0.25">
      <c r="A17" s="307" t="str">
        <f>'DATI INPUT'!A90</f>
        <v>Utenze domestiche con 5 componenti nucleo familiare</v>
      </c>
      <c r="B17" s="2">
        <f>'DATI INPUT'!E34*'DATI INPUT'!E99*365</f>
        <v>20936.765000000003</v>
      </c>
      <c r="C17" s="308"/>
      <c r="D17" s="5"/>
      <c r="E17" s="4"/>
    </row>
    <row r="18" spans="1:5" x14ac:dyDescent="0.25">
      <c r="A18" s="307" t="str">
        <f>'DATI INPUT'!A91</f>
        <v>Utenze domestiche con 6 o più componenti nucleo familiare</v>
      </c>
      <c r="B18" s="311">
        <f>'DATI INPUT'!E35*'DATI INPUT'!E100*365</f>
        <v>12410</v>
      </c>
      <c r="C18" s="308"/>
      <c r="D18" s="5"/>
      <c r="E18" s="4"/>
    </row>
    <row r="19" spans="1:5" x14ac:dyDescent="0.25">
      <c r="A19" s="313"/>
      <c r="B19" s="2">
        <f>SUM(B13:B18)</f>
        <v>438239.80499999999</v>
      </c>
      <c r="C19" s="315">
        <f>B19/B55</f>
        <v>0.78291083628617286</v>
      </c>
      <c r="D19" s="5"/>
      <c r="E19" s="4"/>
    </row>
    <row r="20" spans="1:5" x14ac:dyDescent="0.25">
      <c r="A20" s="313"/>
      <c r="B20" s="1"/>
      <c r="C20" s="308"/>
      <c r="D20" s="5"/>
      <c r="E20" s="4"/>
    </row>
    <row r="21" spans="1:5" x14ac:dyDescent="0.25">
      <c r="A21" s="453" t="s">
        <v>47</v>
      </c>
      <c r="B21" s="454"/>
      <c r="C21" s="455"/>
      <c r="D21" s="5"/>
      <c r="E21" s="4"/>
    </row>
    <row r="22" spans="1:5" ht="6" customHeight="1" x14ac:dyDescent="0.25">
      <c r="A22" s="307"/>
      <c r="B22" s="1"/>
      <c r="C22" s="308"/>
      <c r="D22" s="5"/>
      <c r="E22" s="4"/>
    </row>
    <row r="23" spans="1:5" x14ac:dyDescent="0.25">
      <c r="A23" s="312" t="str">
        <f>'DATI INPUT'!A105</f>
        <v>01 - Musei, biblioteche, scuole, associazioni, luoghi di culto</v>
      </c>
      <c r="B23" s="2">
        <f>'DATI INPUT'!E48*'DATI INPUT'!J105</f>
        <v>312.69</v>
      </c>
      <c r="C23" s="308"/>
      <c r="D23" s="5"/>
      <c r="E23" s="4"/>
    </row>
    <row r="24" spans="1:5" x14ac:dyDescent="0.25">
      <c r="A24" s="312" t="str">
        <f>'DATI INPUT'!A106</f>
        <v>02 - Campeggi, distributori carburanti, impianti sportivi</v>
      </c>
      <c r="B24" s="2">
        <f>'DATI INPUT'!E49*'DATI INPUT'!J106</f>
        <v>0</v>
      </c>
      <c r="C24" s="308"/>
      <c r="D24" s="5"/>
      <c r="E24" s="4"/>
    </row>
    <row r="25" spans="1:5" x14ac:dyDescent="0.25">
      <c r="A25" s="312" t="str">
        <f>'DATI INPUT'!A107</f>
        <v>03 - Stabilimenti balneari</v>
      </c>
      <c r="B25" s="2">
        <f>'DATI INPUT'!E50*'DATI INPUT'!J107</f>
        <v>0</v>
      </c>
      <c r="C25" s="308"/>
      <c r="D25" s="5"/>
      <c r="E25" s="4"/>
    </row>
    <row r="26" spans="1:5" x14ac:dyDescent="0.25">
      <c r="A26" s="312" t="str">
        <f>'DATI INPUT'!A108</f>
        <v>04 - Esposizioni, autosaloni</v>
      </c>
      <c r="B26" s="2">
        <f>'DATI INPUT'!E51*'DATI INPUT'!J108</f>
        <v>323.05</v>
      </c>
      <c r="C26" s="308"/>
      <c r="D26" s="5"/>
      <c r="E26" s="4"/>
    </row>
    <row r="27" spans="1:5" x14ac:dyDescent="0.25">
      <c r="A27" s="312" t="str">
        <f>'DATI INPUT'!A109</f>
        <v>05 - Alberghi con ristorante</v>
      </c>
      <c r="B27" s="2">
        <f>'DATI INPUT'!E52*'DATI INPUT'!J109</f>
        <v>0</v>
      </c>
      <c r="C27" s="308"/>
      <c r="D27" s="5"/>
      <c r="E27" s="4"/>
    </row>
    <row r="28" spans="1:5" x14ac:dyDescent="0.25">
      <c r="A28" s="312" t="str">
        <f>'DATI INPUT'!A110</f>
        <v>06 - Alberghi senza ristorante</v>
      </c>
      <c r="B28" s="2">
        <f>'DATI INPUT'!E53*'DATI INPUT'!J110</f>
        <v>440.48690000000005</v>
      </c>
      <c r="C28" s="308"/>
      <c r="D28" s="5"/>
      <c r="E28" s="4"/>
    </row>
    <row r="29" spans="1:5" x14ac:dyDescent="0.25">
      <c r="A29" s="312" t="str">
        <f>'DATI INPUT'!A111</f>
        <v>07 - Case di cura e riposo</v>
      </c>
      <c r="B29" s="2">
        <f>'DATI INPUT'!E54*'DATI INPUT'!J111</f>
        <v>0</v>
      </c>
      <c r="C29" s="308"/>
      <c r="D29" s="5"/>
      <c r="E29" s="4"/>
    </row>
    <row r="30" spans="1:5" x14ac:dyDescent="0.25">
      <c r="A30" s="312" t="str">
        <f>'DATI INPUT'!A112</f>
        <v>08 - Uffici, agenzie</v>
      </c>
      <c r="B30" s="2">
        <f>'DATI INPUT'!E55*'DATI INPUT'!J112</f>
        <v>12693.198</v>
      </c>
      <c r="C30" s="308"/>
      <c r="D30" s="5"/>
      <c r="E30" s="4"/>
    </row>
    <row r="31" spans="1:5" x14ac:dyDescent="0.25">
      <c r="A31" s="312" t="str">
        <f>'DATI INPUT'!A113</f>
        <v>09 - Banche ed istituti di credito, studi professionali</v>
      </c>
      <c r="B31" s="2">
        <f>'DATI INPUT'!E56*'DATI INPUT'!J113</f>
        <v>1112.4972</v>
      </c>
      <c r="C31" s="308"/>
      <c r="D31" s="5"/>
      <c r="E31" s="4"/>
    </row>
    <row r="32" spans="1:5" x14ac:dyDescent="0.25">
      <c r="A32" s="312" t="str">
        <f>'DATI INPUT'!A114</f>
        <v>10 - Negozi abbigliamento, calzature, libreria, cartoleria, ferramenta e altri beni durevoli</v>
      </c>
      <c r="B32" s="2">
        <f>'DATI INPUT'!E57*'DATI INPUT'!J114</f>
        <v>0</v>
      </c>
      <c r="C32" s="308"/>
      <c r="D32" s="5"/>
      <c r="E32" s="4"/>
    </row>
    <row r="33" spans="1:5" x14ac:dyDescent="0.25">
      <c r="A33" s="312" t="str">
        <f>'DATI INPUT'!A115</f>
        <v>11 - Edicola, farmacia, tabaccaio, plurilicenze</v>
      </c>
      <c r="B33" s="2">
        <f>'DATI INPUT'!E58*'DATI INPUT'!J115</f>
        <v>1120.5</v>
      </c>
      <c r="C33" s="308"/>
      <c r="D33" s="5"/>
      <c r="E33" s="4"/>
    </row>
    <row r="34" spans="1:5" x14ac:dyDescent="0.25">
      <c r="A34" s="312" t="str">
        <f>'DATI INPUT'!A116</f>
        <v>12 - Attività artigianali tipo botteghe: falegname, idraulico, fabbro, elettricista</v>
      </c>
      <c r="B34" s="2">
        <f>'DATI INPUT'!E59*'DATI INPUT'!J116</f>
        <v>464.1</v>
      </c>
      <c r="C34" s="308"/>
      <c r="D34" s="5"/>
      <c r="E34" s="4"/>
    </row>
    <row r="35" spans="1:5" x14ac:dyDescent="0.25">
      <c r="A35" s="312" t="str">
        <f>'DATI INPUT'!A117</f>
        <v>13 - Carrozzeria, autofficina, elettrauto</v>
      </c>
      <c r="B35" s="2">
        <f>'DATI INPUT'!E60*'DATI INPUT'!J117</f>
        <v>0</v>
      </c>
      <c r="C35" s="308"/>
      <c r="D35" s="5"/>
      <c r="E35" s="4"/>
    </row>
    <row r="36" spans="1:5" x14ac:dyDescent="0.25">
      <c r="A36" s="312" t="str">
        <f>'DATI INPUT'!A118</f>
        <v>14 - Attività industriali con capannoni di produzione</v>
      </c>
      <c r="B36" s="2">
        <f>'DATI INPUT'!E61*'DATI INPUT'!J118</f>
        <v>24640.875</v>
      </c>
      <c r="C36" s="308"/>
      <c r="D36" s="5"/>
      <c r="E36" s="4"/>
    </row>
    <row r="37" spans="1:5" x14ac:dyDescent="0.25">
      <c r="A37" s="312" t="str">
        <f>'DATI INPUT'!A119</f>
        <v>15 - Attività artigianali di produzione beni specifici</v>
      </c>
      <c r="B37" s="2">
        <f>'DATI INPUT'!E62*'DATI INPUT'!J119</f>
        <v>53011.738400000002</v>
      </c>
      <c r="C37" s="308"/>
      <c r="D37" s="5"/>
      <c r="E37" s="4"/>
    </row>
    <row r="38" spans="1:5" x14ac:dyDescent="0.25">
      <c r="A38" s="312" t="str">
        <f>'DATI INPUT'!A120</f>
        <v>16 - Ristoranti, trattorie, osterie, pizzerie, pub</v>
      </c>
      <c r="B38" s="2">
        <f>'DATI INPUT'!E63*'DATI INPUT'!J120</f>
        <v>6541.5830000000005</v>
      </c>
      <c r="C38" s="308"/>
      <c r="D38" s="5"/>
      <c r="E38" s="4"/>
    </row>
    <row r="39" spans="1:5" x14ac:dyDescent="0.25">
      <c r="A39" s="312" t="str">
        <f>'DATI INPUT'!A121</f>
        <v>17 - Bar, caffè, pasticceria</v>
      </c>
      <c r="B39" s="2">
        <f>'DATI INPUT'!E64*'DATI INPUT'!J121</f>
        <v>15340.899000000001</v>
      </c>
      <c r="C39" s="308"/>
      <c r="D39" s="5"/>
      <c r="E39" s="4"/>
    </row>
    <row r="40" spans="1:5" x14ac:dyDescent="0.25">
      <c r="A40" s="312" t="str">
        <f>'DATI INPUT'!A122</f>
        <v>18 - Supermercato, pane e pasta, macelleria, salumi e formaggi, generi alimentari</v>
      </c>
      <c r="B40" s="2">
        <f>'DATI INPUT'!E65*'DATI INPUT'!J122</f>
        <v>1233.8909999999998</v>
      </c>
      <c r="C40" s="308"/>
      <c r="D40" s="5"/>
      <c r="E40" s="4"/>
    </row>
    <row r="41" spans="1:5" x14ac:dyDescent="0.25">
      <c r="A41" s="312" t="str">
        <f>'DATI INPUT'!A123</f>
        <v>19 - Plurilicenze alimentari e/o miste</v>
      </c>
      <c r="B41" s="2">
        <f>'DATI INPUT'!E66*'DATI INPUT'!J123</f>
        <v>4281.6660799999991</v>
      </c>
      <c r="C41" s="308"/>
      <c r="D41" s="5"/>
      <c r="E41" s="4"/>
    </row>
    <row r="42" spans="1:5" x14ac:dyDescent="0.25">
      <c r="A42" s="312" t="str">
        <f>'DATI INPUT'!A124</f>
        <v>20 - Ortofrutta, pescherie, fiori e piante, pizza al taglio</v>
      </c>
      <c r="B42" s="2">
        <f>'DATI INPUT'!E67*'DATI INPUT'!J124</f>
        <v>0</v>
      </c>
      <c r="C42" s="308"/>
      <c r="D42" s="5"/>
      <c r="E42" s="4"/>
    </row>
    <row r="43" spans="1:5" x14ac:dyDescent="0.25">
      <c r="A43" s="312" t="str">
        <f>'DATI INPUT'!A125</f>
        <v>21 - Discoteche, night club</v>
      </c>
      <c r="B43" s="2">
        <f>'DATI INPUT'!E68*'DATI INPUT'!J125</f>
        <v>0</v>
      </c>
      <c r="C43" s="308"/>
      <c r="D43" s="5"/>
      <c r="E43" s="4"/>
    </row>
    <row r="44" spans="1:5" x14ac:dyDescent="0.25">
      <c r="A44" s="312">
        <f>'DATI INPUT'!A126</f>
        <v>0</v>
      </c>
      <c r="B44" s="2">
        <f>'DATI INPUT'!E69*'DATI INPUT'!J126</f>
        <v>0</v>
      </c>
      <c r="C44" s="308"/>
      <c r="D44" s="5"/>
      <c r="E44" s="4"/>
    </row>
    <row r="45" spans="1:5" x14ac:dyDescent="0.25">
      <c r="A45" s="312">
        <f>'DATI INPUT'!A128</f>
        <v>0</v>
      </c>
      <c r="B45" s="2">
        <f>'DATI INPUT'!E71*'DATI INPUT'!J128</f>
        <v>0</v>
      </c>
      <c r="C45" s="308"/>
      <c r="D45" s="5"/>
      <c r="E45" s="4"/>
    </row>
    <row r="46" spans="1:5" x14ac:dyDescent="0.25">
      <c r="A46" s="312">
        <f>'DATI INPUT'!A129</f>
        <v>0</v>
      </c>
      <c r="B46" s="2">
        <f>'DATI INPUT'!E72*'DATI INPUT'!J129</f>
        <v>0</v>
      </c>
      <c r="C46" s="308"/>
      <c r="D46" s="5"/>
      <c r="E46" s="4"/>
    </row>
    <row r="47" spans="1:5" x14ac:dyDescent="0.25">
      <c r="A47" s="312">
        <f>'DATI INPUT'!A130</f>
        <v>0</v>
      </c>
      <c r="B47" s="2">
        <f>'DATI INPUT'!E73*'DATI INPUT'!J130</f>
        <v>0</v>
      </c>
      <c r="C47" s="308"/>
      <c r="D47" s="5"/>
      <c r="E47" s="4"/>
    </row>
    <row r="48" spans="1:5" x14ac:dyDescent="0.25">
      <c r="A48" s="312">
        <f>'DATI INPUT'!A131</f>
        <v>0</v>
      </c>
      <c r="B48" s="2">
        <f>'DATI INPUT'!E74*'DATI INPUT'!J131</f>
        <v>0</v>
      </c>
      <c r="C48" s="308"/>
      <c r="D48" s="5"/>
      <c r="E48" s="4"/>
    </row>
    <row r="49" spans="1:5" x14ac:dyDescent="0.25">
      <c r="A49" s="312">
        <f>'DATI INPUT'!A132</f>
        <v>0</v>
      </c>
      <c r="B49" s="2">
        <f>'DATI INPUT'!E75*'DATI INPUT'!J132</f>
        <v>0</v>
      </c>
      <c r="C49" s="308"/>
      <c r="D49" s="5"/>
      <c r="E49" s="4"/>
    </row>
    <row r="50" spans="1:5" x14ac:dyDescent="0.25">
      <c r="A50" s="312">
        <f>'DATI INPUT'!A134</f>
        <v>0</v>
      </c>
      <c r="B50" s="2">
        <f>'DATI INPUT'!E77*'DATI INPUT'!J134</f>
        <v>0</v>
      </c>
      <c r="C50" s="308"/>
      <c r="D50" s="5"/>
      <c r="E50" s="4"/>
    </row>
    <row r="51" spans="1:5" x14ac:dyDescent="0.25">
      <c r="A51" s="312">
        <f>'DATI INPUT'!A135</f>
        <v>0</v>
      </c>
      <c r="B51" s="2">
        <f>'DATI INPUT'!E78*'DATI INPUT'!J135</f>
        <v>0</v>
      </c>
      <c r="C51" s="308"/>
      <c r="D51" s="5"/>
      <c r="E51" s="4"/>
    </row>
    <row r="52" spans="1:5" x14ac:dyDescent="0.25">
      <c r="A52" s="312">
        <f>'DATI INPUT'!A136</f>
        <v>0</v>
      </c>
      <c r="B52" s="311">
        <f>'DATI INPUT'!E79*'DATI INPUT'!J136</f>
        <v>0</v>
      </c>
      <c r="C52" s="308"/>
      <c r="D52" s="5"/>
      <c r="E52" s="4"/>
    </row>
    <row r="53" spans="1:5" x14ac:dyDescent="0.25">
      <c r="A53" s="313"/>
      <c r="B53" s="2">
        <f>SUM(B23:B52)</f>
        <v>121517.17458000001</v>
      </c>
      <c r="C53" s="315">
        <f>B53/B55</f>
        <v>0.21708916371382711</v>
      </c>
      <c r="D53" s="5"/>
      <c r="E53" s="4"/>
    </row>
    <row r="54" spans="1:5" ht="6" customHeight="1" x14ac:dyDescent="0.25">
      <c r="A54" s="313"/>
      <c r="B54" s="2"/>
      <c r="C54" s="309"/>
      <c r="D54" s="5"/>
      <c r="E54" s="4"/>
    </row>
    <row r="55" spans="1:5" x14ac:dyDescent="0.25">
      <c r="A55" s="314"/>
      <c r="B55" s="316">
        <f>B19+B53</f>
        <v>559756.97958000004</v>
      </c>
      <c r="C55" s="317">
        <f>SUM(C19:C53)</f>
        <v>1</v>
      </c>
      <c r="D55" s="5"/>
      <c r="E55" s="4"/>
    </row>
    <row r="56" spans="1:5" x14ac:dyDescent="0.25">
      <c r="A56" s="80"/>
      <c r="B56" s="2"/>
      <c r="C56" s="97"/>
      <c r="D56" s="5"/>
      <c r="E56" s="4"/>
    </row>
    <row r="57" spans="1:5" x14ac:dyDescent="0.25">
      <c r="A57" s="80"/>
      <c r="B57" s="2"/>
      <c r="C57" s="97"/>
      <c r="D57" s="5"/>
      <c r="E57" s="4"/>
    </row>
    <row r="58" spans="1:5" x14ac:dyDescent="0.25">
      <c r="A58" s="80"/>
      <c r="B58" s="2"/>
      <c r="C58" s="97"/>
      <c r="D58" s="5"/>
      <c r="E58" s="4"/>
    </row>
    <row r="59" spans="1:5" x14ac:dyDescent="0.25">
      <c r="A59" s="80"/>
      <c r="B59" s="1"/>
      <c r="C59" s="97"/>
      <c r="D59" s="5"/>
      <c r="E59" s="4"/>
    </row>
    <row r="60" spans="1:5" x14ac:dyDescent="0.25">
      <c r="A60" s="80"/>
      <c r="B60" s="1"/>
      <c r="C60" s="97"/>
      <c r="D60" s="5"/>
      <c r="E60" s="4"/>
    </row>
    <row r="61" spans="1:5" x14ac:dyDescent="0.25">
      <c r="A61" s="80"/>
      <c r="B61" s="1"/>
      <c r="C61" s="97"/>
      <c r="D61" s="5"/>
      <c r="E61" s="4"/>
    </row>
    <row r="62" spans="1:5" x14ac:dyDescent="0.25">
      <c r="A62" s="80"/>
      <c r="B62" s="1"/>
      <c r="C62" s="97"/>
      <c r="D62" s="5"/>
      <c r="E62" s="4"/>
    </row>
    <row r="63" spans="1:5" x14ac:dyDescent="0.25">
      <c r="A63" s="80"/>
      <c r="B63" s="1"/>
      <c r="C63" s="97"/>
      <c r="D63" s="5"/>
      <c r="E63" s="4"/>
    </row>
    <row r="64" spans="1:5" x14ac:dyDescent="0.25">
      <c r="A64" s="80"/>
      <c r="B64" s="1"/>
      <c r="C64" s="97"/>
      <c r="D64" s="5"/>
      <c r="E64" s="4"/>
    </row>
    <row r="65" spans="1:5" x14ac:dyDescent="0.25">
      <c r="A65" s="80"/>
      <c r="B65" s="1"/>
      <c r="C65" s="97"/>
      <c r="D65" s="5"/>
      <c r="E65" s="4"/>
    </row>
    <row r="66" spans="1:5" x14ac:dyDescent="0.25">
      <c r="A66" s="80"/>
      <c r="B66" s="1"/>
      <c r="C66" s="97"/>
      <c r="D66" s="5"/>
      <c r="E66" s="4"/>
    </row>
    <row r="67" spans="1:5" x14ac:dyDescent="0.25">
      <c r="A67" s="80"/>
      <c r="B67" s="1"/>
      <c r="C67" s="97"/>
      <c r="D67" s="5"/>
      <c r="E67" s="4"/>
    </row>
    <row r="68" spans="1:5" x14ac:dyDescent="0.25">
      <c r="A68" s="80"/>
      <c r="B68" s="1"/>
      <c r="C68" s="97"/>
      <c r="D68" s="5"/>
      <c r="E68" s="4"/>
    </row>
    <row r="69" spans="1:5" x14ac:dyDescent="0.25">
      <c r="A69" s="80"/>
      <c r="B69" s="1"/>
      <c r="C69" s="97"/>
      <c r="D69" s="5"/>
      <c r="E69" s="4"/>
    </row>
    <row r="70" spans="1:5" x14ac:dyDescent="0.25">
      <c r="A70" s="80"/>
      <c r="B70" s="1"/>
      <c r="C70" s="97"/>
      <c r="D70" s="5"/>
      <c r="E70" s="4"/>
    </row>
    <row r="71" spans="1:5" x14ac:dyDescent="0.25">
      <c r="A71" s="80"/>
      <c r="B71" s="1"/>
      <c r="C71" s="97"/>
      <c r="D71" s="5"/>
      <c r="E71" s="4"/>
    </row>
    <row r="72" spans="1:5" x14ac:dyDescent="0.25">
      <c r="A72" s="80"/>
      <c r="B72" s="1"/>
      <c r="C72" s="97"/>
      <c r="D72" s="5"/>
      <c r="E72" s="4"/>
    </row>
    <row r="73" spans="1:5" x14ac:dyDescent="0.25">
      <c r="A73" s="80"/>
      <c r="B73" s="1"/>
      <c r="C73" s="97"/>
      <c r="D73" s="5"/>
      <c r="E73" s="4"/>
    </row>
    <row r="74" spans="1:5" x14ac:dyDescent="0.25">
      <c r="A74" s="80"/>
      <c r="B74" s="1"/>
      <c r="C74" s="97"/>
      <c r="D74" s="5"/>
      <c r="E74" s="4"/>
    </row>
    <row r="75" spans="1:5" x14ac:dyDescent="0.25">
      <c r="A75" s="80"/>
      <c r="B75" s="1"/>
      <c r="C75" s="97"/>
      <c r="D75" s="5"/>
      <c r="E75" s="4"/>
    </row>
    <row r="76" spans="1:5" x14ac:dyDescent="0.25">
      <c r="A76" s="80"/>
      <c r="B76" s="1"/>
      <c r="C76" s="97"/>
      <c r="D76" s="5"/>
      <c r="E76" s="4"/>
    </row>
    <row r="77" spans="1:5" x14ac:dyDescent="0.25">
      <c r="A77" s="80"/>
      <c r="B77" s="1"/>
      <c r="C77" s="97"/>
      <c r="D77" s="5"/>
      <c r="E77" s="4"/>
    </row>
  </sheetData>
  <mergeCells count="6">
    <mergeCell ref="A21:C21"/>
    <mergeCell ref="D9:E13"/>
    <mergeCell ref="D2:E5"/>
    <mergeCell ref="A2:C2"/>
    <mergeCell ref="A9:C9"/>
    <mergeCell ref="A11:C11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14"/>
  <sheetViews>
    <sheetView zoomScale="85" zoomScaleNormal="85" workbookViewId="0">
      <selection activeCell="B23" sqref="B23"/>
    </sheetView>
  </sheetViews>
  <sheetFormatPr defaultRowHeight="15" x14ac:dyDescent="0.25"/>
  <cols>
    <col min="1" max="1" width="35.140625" bestFit="1" customWidth="1"/>
    <col min="2" max="2" width="19.28515625" bestFit="1" customWidth="1"/>
    <col min="3" max="3" width="11.28515625" bestFit="1" customWidth="1"/>
    <col min="4" max="6" width="13.28515625" bestFit="1" customWidth="1"/>
    <col min="8" max="8" width="13.28515625" bestFit="1" customWidth="1"/>
  </cols>
  <sheetData>
    <row r="1" spans="1:3" ht="18.75" x14ac:dyDescent="0.3">
      <c r="A1" s="58" t="s">
        <v>159</v>
      </c>
      <c r="B1" s="59">
        <f>'DATI INPUT'!C25</f>
        <v>213603</v>
      </c>
      <c r="C1" s="60">
        <v>1</v>
      </c>
    </row>
    <row r="2" spans="1:3" ht="18.75" x14ac:dyDescent="0.3">
      <c r="A2" s="61"/>
      <c r="B2" s="61"/>
      <c r="C2" s="61"/>
    </row>
    <row r="3" spans="1:3" ht="18.75" x14ac:dyDescent="0.3">
      <c r="A3" s="62" t="s">
        <v>165</v>
      </c>
      <c r="B3" s="63">
        <f>UtenzeDomestiche!K5</f>
        <v>170882.40000000002</v>
      </c>
      <c r="C3" s="64">
        <f>'DATI INPUT'!E24</f>
        <v>0.8</v>
      </c>
    </row>
    <row r="4" spans="1:3" ht="18.75" x14ac:dyDescent="0.3">
      <c r="A4" s="65" t="s">
        <v>160</v>
      </c>
      <c r="B4" s="66">
        <f>UtenzeNonDomestiche!K5</f>
        <v>42720.599999999991</v>
      </c>
      <c r="C4" s="67">
        <f>'DATI INPUT'!E25</f>
        <v>0.19999999999999996</v>
      </c>
    </row>
    <row r="5" spans="1:3" ht="18.75" x14ac:dyDescent="0.3">
      <c r="A5" s="61"/>
      <c r="B5" s="68">
        <f>SUM(B3:B4)</f>
        <v>213603</v>
      </c>
      <c r="C5" s="61"/>
    </row>
    <row r="6" spans="1:3" ht="18.75" x14ac:dyDescent="0.3">
      <c r="A6" s="61"/>
      <c r="B6" s="61"/>
      <c r="C6" s="61"/>
    </row>
    <row r="7" spans="1:3" ht="18.75" x14ac:dyDescent="0.3">
      <c r="A7" s="69" t="s">
        <v>161</v>
      </c>
      <c r="B7" s="70">
        <f>UtenzeDomestiche!K11</f>
        <v>79612.800000000003</v>
      </c>
      <c r="C7" s="71">
        <f>'DATI INPUT'!C20</f>
        <v>0.46589233297285149</v>
      </c>
    </row>
    <row r="8" spans="1:3" ht="18.75" x14ac:dyDescent="0.3">
      <c r="A8" s="72" t="s">
        <v>162</v>
      </c>
      <c r="B8" s="73">
        <f>UtenzeDomestiche!K27</f>
        <v>91269.60000000002</v>
      </c>
      <c r="C8" s="74">
        <f>'DATI INPUT'!G20</f>
        <v>0.53410766702714851</v>
      </c>
    </row>
    <row r="9" spans="1:3" ht="18.75" x14ac:dyDescent="0.3">
      <c r="A9" s="65" t="s">
        <v>163</v>
      </c>
      <c r="B9" s="75">
        <f>UtenzeNonDomestiche!K11</f>
        <v>19903.199999999993</v>
      </c>
      <c r="C9" s="67">
        <f>C7</f>
        <v>0.46589233297285149</v>
      </c>
    </row>
    <row r="10" spans="1:3" ht="18.75" x14ac:dyDescent="0.3">
      <c r="A10" s="76" t="s">
        <v>164</v>
      </c>
      <c r="B10" s="77">
        <f>UtenzeNonDomestiche!K52</f>
        <v>22817.399999999998</v>
      </c>
      <c r="C10" s="78">
        <f>C8</f>
        <v>0.53410766702714851</v>
      </c>
    </row>
    <row r="11" spans="1:3" ht="18.75" x14ac:dyDescent="0.3">
      <c r="A11" s="61"/>
      <c r="B11" s="68">
        <f>SUM(B7:B10)</f>
        <v>213603</v>
      </c>
      <c r="C11" s="61"/>
    </row>
    <row r="14" spans="1:3" x14ac:dyDescent="0.25">
      <c r="B14" s="397">
        <f>B1-B11</f>
        <v>0</v>
      </c>
    </row>
  </sheetData>
  <phoneticPr fontId="30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59"/>
  <sheetViews>
    <sheetView zoomScale="85" zoomScaleNormal="85" workbookViewId="0">
      <selection activeCell="K5" sqref="K5"/>
    </sheetView>
  </sheetViews>
  <sheetFormatPr defaultRowHeight="15" x14ac:dyDescent="0.25"/>
  <cols>
    <col min="7" max="7" width="10.140625" customWidth="1"/>
    <col min="8" max="8" width="11.28515625" customWidth="1"/>
    <col min="9" max="9" width="14.28515625" bestFit="1" customWidth="1"/>
    <col min="10" max="10" width="13.28515625" bestFit="1" customWidth="1"/>
    <col min="11" max="11" width="13.85546875" customWidth="1"/>
    <col min="12" max="12" width="15.7109375" customWidth="1"/>
    <col min="13" max="13" width="13.28515625" customWidth="1"/>
    <col min="14" max="14" width="1.5703125" customWidth="1"/>
    <col min="15" max="15" width="12.42578125" customWidth="1"/>
    <col min="16" max="16" width="13.7109375" customWidth="1"/>
    <col min="17" max="17" width="8.5703125" customWidth="1"/>
    <col min="18" max="18" width="12.7109375" customWidth="1"/>
  </cols>
  <sheetData>
    <row r="1" spans="1:16" x14ac:dyDescent="0.25">
      <c r="A1" s="465" t="s">
        <v>144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7"/>
    </row>
    <row r="2" spans="1:16" ht="7.5" customHeight="1" x14ac:dyDescent="0.25"/>
    <row r="3" spans="1:16" x14ac:dyDescent="0.25">
      <c r="A3" t="s">
        <v>170</v>
      </c>
      <c r="I3" s="3">
        <f>'DATI INPUT'!C25</f>
        <v>213603</v>
      </c>
      <c r="J3" s="3"/>
      <c r="M3" s="128"/>
    </row>
    <row r="4" spans="1:16" ht="7.5" customHeight="1" x14ac:dyDescent="0.25"/>
    <row r="5" spans="1:16" x14ac:dyDescent="0.25">
      <c r="A5" t="s">
        <v>141</v>
      </c>
      <c r="I5" s="4">
        <f>'DATI INPUT'!E24</f>
        <v>0.8</v>
      </c>
      <c r="J5" s="12" t="s">
        <v>93</v>
      </c>
      <c r="K5" s="3">
        <f>I3*I5</f>
        <v>170882.40000000002</v>
      </c>
      <c r="M5" s="30"/>
    </row>
    <row r="6" spans="1:16" ht="7.5" customHeight="1" x14ac:dyDescent="0.25"/>
    <row r="7" spans="1:16" x14ac:dyDescent="0.25">
      <c r="A7" s="465" t="s">
        <v>132</v>
      </c>
      <c r="B7" s="466"/>
      <c r="C7" s="466"/>
      <c r="D7" s="466"/>
      <c r="E7" s="466"/>
      <c r="F7" s="466"/>
      <c r="G7" s="466"/>
      <c r="H7" s="466"/>
      <c r="I7" s="466"/>
      <c r="J7" s="466"/>
      <c r="K7" s="466"/>
      <c r="L7" s="466"/>
      <c r="M7" s="467"/>
    </row>
    <row r="8" spans="1:16" ht="7.5" customHeight="1" x14ac:dyDescent="0.25"/>
    <row r="9" spans="1:16" x14ac:dyDescent="0.25">
      <c r="A9" t="s">
        <v>72</v>
      </c>
      <c r="I9" s="4">
        <f>'DATI INPUT'!C20</f>
        <v>0.46589233297285149</v>
      </c>
    </row>
    <row r="10" spans="1:16" ht="7.5" customHeight="1" x14ac:dyDescent="0.25"/>
    <row r="11" spans="1:16" x14ac:dyDescent="0.25">
      <c r="A11" t="s">
        <v>73</v>
      </c>
      <c r="K11" s="3">
        <f>K5*I9</f>
        <v>79612.800000000003</v>
      </c>
      <c r="M11" s="3"/>
    </row>
    <row r="12" spans="1:16" ht="7.5" customHeight="1" x14ac:dyDescent="0.25">
      <c r="I12" s="3"/>
    </row>
    <row r="13" spans="1:16" ht="45" x14ac:dyDescent="0.25">
      <c r="I13" s="47" t="s">
        <v>79</v>
      </c>
      <c r="J13" s="46" t="s">
        <v>166</v>
      </c>
      <c r="K13" s="46" t="s">
        <v>152</v>
      </c>
      <c r="L13" s="46" t="s">
        <v>147</v>
      </c>
      <c r="M13" s="46" t="s">
        <v>45</v>
      </c>
    </row>
    <row r="14" spans="1:16" x14ac:dyDescent="0.25">
      <c r="A14" t="s">
        <v>74</v>
      </c>
      <c r="I14" s="30">
        <f>'DATI INPUT'!C30</f>
        <v>28362.76</v>
      </c>
      <c r="J14" s="51">
        <f>'DATI INPUT'!E86</f>
        <v>0.84</v>
      </c>
      <c r="K14" s="3">
        <f t="shared" ref="K14:K19" si="0">I14*J14</f>
        <v>23824.718399999998</v>
      </c>
      <c r="L14" s="3">
        <f>K11/K21*K14</f>
        <v>17473.286209653375</v>
      </c>
      <c r="M14" s="8">
        <f t="shared" ref="M14:M19" si="1">L14/I14</f>
        <v>0.61606438194496504</v>
      </c>
    </row>
    <row r="15" spans="1:16" x14ac:dyDescent="0.25">
      <c r="A15" t="s">
        <v>75</v>
      </c>
      <c r="I15" s="30">
        <f>'DATI INPUT'!C31</f>
        <v>35458.79</v>
      </c>
      <c r="J15" s="52">
        <f>'DATI INPUT'!E87</f>
        <v>0.98</v>
      </c>
      <c r="K15" s="3">
        <f t="shared" si="0"/>
        <v>34749.614200000004</v>
      </c>
      <c r="L15" s="3">
        <f>K11/K21*K15</f>
        <v>25485.713803510691</v>
      </c>
      <c r="M15" s="8">
        <f t="shared" si="1"/>
        <v>0.7187417789357925</v>
      </c>
    </row>
    <row r="16" spans="1:16" x14ac:dyDescent="0.25">
      <c r="A16" t="s">
        <v>76</v>
      </c>
      <c r="I16" s="30">
        <f>'DATI INPUT'!C32</f>
        <v>27776.93</v>
      </c>
      <c r="J16" s="52">
        <f>'DATI INPUT'!E88</f>
        <v>1.08</v>
      </c>
      <c r="K16" s="3">
        <f t="shared" si="0"/>
        <v>29999.084400000003</v>
      </c>
      <c r="L16" s="3">
        <f>K11/K21*K16</f>
        <v>22001.627845001003</v>
      </c>
      <c r="M16" s="8">
        <f t="shared" si="1"/>
        <v>0.79208277678638361</v>
      </c>
    </row>
    <row r="17" spans="1:13" x14ac:dyDescent="0.25">
      <c r="A17" t="s">
        <v>77</v>
      </c>
      <c r="I17" s="30">
        <f>'DATI INPUT'!C33</f>
        <v>11573.17</v>
      </c>
      <c r="J17" s="52">
        <f>'DATI INPUT'!E89</f>
        <v>1.1599999999999999</v>
      </c>
      <c r="K17" s="3">
        <f t="shared" si="0"/>
        <v>13424.877199999999</v>
      </c>
      <c r="L17" s="3">
        <f>K11/K21*K17</f>
        <v>9845.9388986964896</v>
      </c>
      <c r="M17" s="8">
        <f t="shared" si="1"/>
        <v>0.85075557506685628</v>
      </c>
    </row>
    <row r="18" spans="1:13" x14ac:dyDescent="0.25">
      <c r="A18" t="s">
        <v>78</v>
      </c>
      <c r="I18" s="30">
        <f>'DATI INPUT'!C34</f>
        <v>3324.4349999999999</v>
      </c>
      <c r="J18" s="52">
        <f>'DATI INPUT'!E90</f>
        <v>1.24</v>
      </c>
      <c r="K18" s="3">
        <f t="shared" si="0"/>
        <v>4122.2993999999999</v>
      </c>
      <c r="L18" s="3">
        <f>K11/K21*K18</f>
        <v>3023.3355143489284</v>
      </c>
      <c r="M18" s="8">
        <f t="shared" si="1"/>
        <v>0.90942837334732929</v>
      </c>
    </row>
    <row r="19" spans="1:13" x14ac:dyDescent="0.25">
      <c r="A19" t="s">
        <v>184</v>
      </c>
      <c r="I19" s="30">
        <f>'DATI INPUT'!C35</f>
        <v>1869.9770000000001</v>
      </c>
      <c r="J19" s="360">
        <f>'DATI INPUT'!E91</f>
        <v>1.3</v>
      </c>
      <c r="K19" s="3">
        <f t="shared" si="0"/>
        <v>2430.9701</v>
      </c>
      <c r="L19" s="3">
        <f>K11/K21*K19</f>
        <v>1782.8977287895116</v>
      </c>
      <c r="M19" s="359">
        <f t="shared" si="1"/>
        <v>0.95343297205768385</v>
      </c>
    </row>
    <row r="20" spans="1:13" x14ac:dyDescent="0.25">
      <c r="A20" t="s">
        <v>255</v>
      </c>
      <c r="I20" s="31">
        <f>'DATI INPUT'!C37</f>
        <v>1.0000000000000001E-5</v>
      </c>
      <c r="J20" s="53">
        <f>'DATI INPUT'!E92</f>
        <v>0</v>
      </c>
      <c r="K20" s="6">
        <f t="shared" ref="K20" si="2">I20*J20</f>
        <v>0</v>
      </c>
      <c r="L20" s="6">
        <f>K11/K21*K20</f>
        <v>0</v>
      </c>
      <c r="M20" s="185">
        <f t="shared" ref="M20" si="3">L20/I20</f>
        <v>0</v>
      </c>
    </row>
    <row r="21" spans="1:13" x14ac:dyDescent="0.25">
      <c r="I21" s="3">
        <f>SUM(I14:I19)</f>
        <v>108366.06200000001</v>
      </c>
      <c r="J21" s="3"/>
      <c r="K21" s="3">
        <f>SUM(K14:K19)</f>
        <v>108551.56370000001</v>
      </c>
      <c r="L21" s="3">
        <f>SUM(L14:L19)</f>
        <v>79612.800000000003</v>
      </c>
    </row>
    <row r="22" spans="1:13" ht="7.5" customHeight="1" x14ac:dyDescent="0.25"/>
    <row r="23" spans="1:13" x14ac:dyDescent="0.25">
      <c r="A23" s="465" t="s">
        <v>133</v>
      </c>
      <c r="B23" s="466"/>
      <c r="C23" s="466"/>
      <c r="D23" s="466"/>
      <c r="E23" s="466"/>
      <c r="F23" s="466"/>
      <c r="G23" s="466"/>
      <c r="H23" s="466"/>
      <c r="I23" s="466"/>
      <c r="J23" s="466"/>
      <c r="K23" s="466"/>
      <c r="L23" s="466"/>
      <c r="M23" s="467"/>
    </row>
    <row r="24" spans="1:13" ht="7.5" customHeight="1" x14ac:dyDescent="0.25"/>
    <row r="25" spans="1:13" x14ac:dyDescent="0.25">
      <c r="A25" t="s">
        <v>80</v>
      </c>
      <c r="I25" s="4">
        <f>'DATI INPUT'!G20</f>
        <v>0.53410766702714851</v>
      </c>
    </row>
    <row r="26" spans="1:13" ht="7.5" customHeight="1" x14ac:dyDescent="0.25"/>
    <row r="27" spans="1:13" x14ac:dyDescent="0.25">
      <c r="A27" t="s">
        <v>86</v>
      </c>
      <c r="K27" s="3">
        <f>(K5*I25)-M5</f>
        <v>91269.60000000002</v>
      </c>
      <c r="M27" s="3"/>
    </row>
    <row r="28" spans="1:13" ht="7.5" customHeight="1" x14ac:dyDescent="0.25">
      <c r="I28" s="3"/>
      <c r="M28" s="10"/>
    </row>
    <row r="29" spans="1:13" ht="60" x14ac:dyDescent="0.25">
      <c r="H29" s="46" t="s">
        <v>185</v>
      </c>
      <c r="I29" s="46" t="s">
        <v>149</v>
      </c>
      <c r="J29" s="46" t="s">
        <v>167</v>
      </c>
      <c r="K29" s="46" t="s">
        <v>153</v>
      </c>
      <c r="L29" s="46" t="s">
        <v>148</v>
      </c>
      <c r="M29" s="46" t="s">
        <v>46</v>
      </c>
    </row>
    <row r="30" spans="1:13" x14ac:dyDescent="0.25">
      <c r="A30" t="s">
        <v>81</v>
      </c>
      <c r="H30" s="305">
        <f>'DATI INPUT'!F95</f>
        <v>85</v>
      </c>
      <c r="I30" s="44">
        <f>'DATI INPUT'!E30</f>
        <v>206</v>
      </c>
      <c r="J30" s="54">
        <f>'DATI INPUT'!E95</f>
        <v>0.94</v>
      </c>
      <c r="K30" s="43">
        <f t="shared" ref="K30:K35" si="4">I30*J30</f>
        <v>193.64</v>
      </c>
      <c r="L30" s="3">
        <f>K27/K37*K30</f>
        <v>14719.812022917453</v>
      </c>
      <c r="M30" s="11">
        <f t="shared" ref="M30:M35" si="5">L30/I30</f>
        <v>71.455398169502203</v>
      </c>
    </row>
    <row r="31" spans="1:13" x14ac:dyDescent="0.25">
      <c r="A31" t="s">
        <v>82</v>
      </c>
      <c r="H31" s="305">
        <f>'DATI INPUT'!F96</f>
        <v>68</v>
      </c>
      <c r="I31" s="41">
        <f>'DATI INPUT'!E31</f>
        <v>214</v>
      </c>
      <c r="J31" s="55">
        <f>'DATI INPUT'!E96</f>
        <v>1.6719999999999999</v>
      </c>
      <c r="K31" s="3">
        <f t="shared" si="4"/>
        <v>357.80799999999999</v>
      </c>
      <c r="L31" s="3">
        <f>K27/K37*K31</f>
        <v>27199.269264077917</v>
      </c>
      <c r="M31" s="11">
        <f t="shared" si="5"/>
        <v>127.09938908447624</v>
      </c>
    </row>
    <row r="32" spans="1:13" x14ac:dyDescent="0.25">
      <c r="A32" t="s">
        <v>83</v>
      </c>
      <c r="H32" s="305">
        <f>'DATI INPUT'!F97</f>
        <v>52</v>
      </c>
      <c r="I32" s="41">
        <f>'DATI INPUT'!E32</f>
        <v>188</v>
      </c>
      <c r="J32" s="55">
        <f>'DATI INPUT'!E97</f>
        <v>2.06</v>
      </c>
      <c r="K32" s="3">
        <f t="shared" si="4"/>
        <v>387.28000000000003</v>
      </c>
      <c r="L32" s="3">
        <f>K27/K37*K32</f>
        <v>29439.624045834909</v>
      </c>
      <c r="M32" s="11">
        <f t="shared" si="5"/>
        <v>156.59374492465378</v>
      </c>
    </row>
    <row r="33" spans="1:16" x14ac:dyDescent="0.25">
      <c r="A33" t="s">
        <v>84</v>
      </c>
      <c r="H33" s="305">
        <f>'DATI INPUT'!F98</f>
        <v>34</v>
      </c>
      <c r="I33" s="41">
        <f>'DATI INPUT'!E33</f>
        <v>69</v>
      </c>
      <c r="J33" s="55">
        <f>'DATI INPUT'!E98</f>
        <v>2.472</v>
      </c>
      <c r="K33" s="3">
        <f t="shared" si="4"/>
        <v>170.56800000000001</v>
      </c>
      <c r="L33" s="3">
        <f>K27/K37*K33</f>
        <v>12965.962079761333</v>
      </c>
      <c r="M33" s="11">
        <f t="shared" si="5"/>
        <v>187.91249390958455</v>
      </c>
    </row>
    <row r="34" spans="1:16" x14ac:dyDescent="0.25">
      <c r="A34" t="s">
        <v>85</v>
      </c>
      <c r="H34" s="305">
        <f>'DATI INPUT'!F99</f>
        <v>17</v>
      </c>
      <c r="I34" s="41">
        <f>'DATI INPUT'!E34</f>
        <v>19</v>
      </c>
      <c r="J34" s="55">
        <f>'DATI INPUT'!E99</f>
        <v>3.0190000000000001</v>
      </c>
      <c r="K34" s="3">
        <f t="shared" si="4"/>
        <v>57.361000000000004</v>
      </c>
      <c r="L34" s="3">
        <f>K27/K37*K34</f>
        <v>4360.3756323412936</v>
      </c>
      <c r="M34" s="11">
        <f t="shared" si="5"/>
        <v>229.49345433375228</v>
      </c>
    </row>
    <row r="35" spans="1:16" x14ac:dyDescent="0.25">
      <c r="A35" t="s">
        <v>183</v>
      </c>
      <c r="H35" s="305">
        <f>'DATI INPUT'!F100</f>
        <v>0</v>
      </c>
      <c r="I35" s="41">
        <f>'DATI INPUT'!E35</f>
        <v>10</v>
      </c>
      <c r="J35" s="55">
        <f>'DATI INPUT'!E100</f>
        <v>3.4</v>
      </c>
      <c r="K35" s="3">
        <f t="shared" si="4"/>
        <v>34</v>
      </c>
      <c r="L35" s="3">
        <f>K27/K37*K35</f>
        <v>2584.5569550671007</v>
      </c>
      <c r="M35" s="358">
        <f t="shared" si="5"/>
        <v>258.45569550671007</v>
      </c>
    </row>
    <row r="36" spans="1:16" x14ac:dyDescent="0.25">
      <c r="A36" t="s">
        <v>255</v>
      </c>
      <c r="H36" s="305">
        <f>'DATI INPUT'!F101</f>
        <v>0</v>
      </c>
      <c r="I36" s="42">
        <f>'DATI INPUT'!E37</f>
        <v>1.0000000000000001E-5</v>
      </c>
      <c r="J36" s="56">
        <f>'DATI INPUT'!E101</f>
        <v>0</v>
      </c>
      <c r="K36" s="6">
        <f t="shared" ref="K36" si="6">I36*J36</f>
        <v>0</v>
      </c>
      <c r="L36" s="6">
        <f>K27/K37*K36</f>
        <v>0</v>
      </c>
      <c r="M36" s="306">
        <f t="shared" ref="M36" si="7">L36/I36</f>
        <v>0</v>
      </c>
    </row>
    <row r="37" spans="1:16" x14ac:dyDescent="0.25">
      <c r="I37" s="9">
        <f>SUM(I30:I36)</f>
        <v>706.00000999999997</v>
      </c>
      <c r="J37" s="3"/>
      <c r="K37" s="3">
        <f>SUM(K30:K35)</f>
        <v>1200.6570000000002</v>
      </c>
      <c r="L37" s="3">
        <f>SUM(L30:L35)</f>
        <v>91269.6</v>
      </c>
      <c r="M37" s="3"/>
    </row>
    <row r="38" spans="1:16" ht="7.5" customHeight="1" x14ac:dyDescent="0.25"/>
    <row r="39" spans="1:16" x14ac:dyDescent="0.25">
      <c r="A39" s="465" t="s">
        <v>154</v>
      </c>
      <c r="B39" s="466"/>
      <c r="C39" s="466"/>
      <c r="D39" s="466"/>
      <c r="E39" s="466"/>
      <c r="F39" s="466"/>
      <c r="G39" s="466"/>
      <c r="H39" s="466"/>
      <c r="I39" s="466"/>
      <c r="J39" s="466"/>
      <c r="K39" s="466"/>
      <c r="L39" s="466"/>
      <c r="M39" s="466"/>
      <c r="N39" s="466"/>
      <c r="O39" s="466"/>
      <c r="P39" s="467"/>
    </row>
    <row r="40" spans="1:16" ht="7.5" customHeight="1" x14ac:dyDescent="0.25"/>
    <row r="41" spans="1:16" ht="45" x14ac:dyDescent="0.25">
      <c r="A41" s="462" t="s">
        <v>266</v>
      </c>
      <c r="B41" s="463"/>
      <c r="C41" s="463"/>
      <c r="D41" s="464"/>
      <c r="E41" s="136" t="s">
        <v>42</v>
      </c>
      <c r="F41" s="136" t="s">
        <v>217</v>
      </c>
      <c r="G41" s="136" t="s">
        <v>194</v>
      </c>
      <c r="H41" s="136" t="s">
        <v>43</v>
      </c>
      <c r="I41" s="136" t="s">
        <v>44</v>
      </c>
      <c r="J41" s="136" t="s">
        <v>220</v>
      </c>
      <c r="K41" s="280" t="s">
        <v>41</v>
      </c>
      <c r="L41" s="136"/>
      <c r="M41" s="296" t="s">
        <v>267</v>
      </c>
    </row>
    <row r="42" spans="1:16" x14ac:dyDescent="0.25">
      <c r="A42" s="283" t="s">
        <v>177</v>
      </c>
      <c r="B42" s="284"/>
      <c r="C42" s="284"/>
      <c r="D42" s="284"/>
      <c r="E42" s="299">
        <f t="shared" ref="E42:E48" si="8">M14</f>
        <v>0.61606438194496504</v>
      </c>
      <c r="F42" s="285">
        <f>'DATI INPUT'!F30</f>
        <v>137.68330097087377</v>
      </c>
      <c r="G42" s="286">
        <f t="shared" ref="G42:G47" si="9">E42*F42</f>
        <v>84.821777716763961</v>
      </c>
      <c r="H42" s="286">
        <f t="shared" ref="H42:H48" si="10">M30</f>
        <v>71.455398169502203</v>
      </c>
      <c r="I42" s="287">
        <f t="shared" ref="I42:I47" si="11">G42+H42</f>
        <v>156.27717588626615</v>
      </c>
      <c r="J42" s="301">
        <f t="shared" ref="J42:J47" si="12">I42*5%</f>
        <v>7.8138587943133082</v>
      </c>
      <c r="K42" s="302">
        <v>0</v>
      </c>
      <c r="L42" s="287"/>
      <c r="M42" s="294">
        <f t="shared" ref="M42:M47" si="13">I42+J42</f>
        <v>164.09103468057947</v>
      </c>
      <c r="O42" s="395"/>
      <c r="P42" s="4"/>
    </row>
    <row r="43" spans="1:16" x14ac:dyDescent="0.25">
      <c r="A43" s="288" t="s">
        <v>178</v>
      </c>
      <c r="B43" s="211"/>
      <c r="C43" s="211"/>
      <c r="D43" s="211"/>
      <c r="E43" s="300">
        <f t="shared" si="8"/>
        <v>0.7187417789357925</v>
      </c>
      <c r="F43" s="289">
        <f>'DATI INPUT'!F31</f>
        <v>165.69528037383179</v>
      </c>
      <c r="G43" s="290">
        <f t="shared" si="9"/>
        <v>119.09212057715277</v>
      </c>
      <c r="H43" s="290">
        <f t="shared" si="10"/>
        <v>127.09938908447624</v>
      </c>
      <c r="I43" s="291">
        <f t="shared" si="11"/>
        <v>246.19150966162903</v>
      </c>
      <c r="J43" s="303">
        <f t="shared" si="12"/>
        <v>12.309575483081453</v>
      </c>
      <c r="K43" s="304">
        <v>0</v>
      </c>
      <c r="L43" s="291"/>
      <c r="M43" s="295">
        <f t="shared" si="13"/>
        <v>258.50108514471049</v>
      </c>
      <c r="O43" s="395"/>
      <c r="P43" s="4"/>
    </row>
    <row r="44" spans="1:16" x14ac:dyDescent="0.25">
      <c r="A44" s="288" t="s">
        <v>179</v>
      </c>
      <c r="B44" s="211"/>
      <c r="C44" s="211"/>
      <c r="D44" s="211"/>
      <c r="E44" s="300">
        <f t="shared" si="8"/>
        <v>0.79208277678638361</v>
      </c>
      <c r="F44" s="289">
        <f>'DATI INPUT'!F32</f>
        <v>147.74962765957446</v>
      </c>
      <c r="G44" s="290">
        <f t="shared" si="9"/>
        <v>117.02993534575</v>
      </c>
      <c r="H44" s="290">
        <f t="shared" si="10"/>
        <v>156.59374492465378</v>
      </c>
      <c r="I44" s="291">
        <f t="shared" si="11"/>
        <v>273.62368027040378</v>
      </c>
      <c r="J44" s="303">
        <f t="shared" si="12"/>
        <v>13.681184013520189</v>
      </c>
      <c r="K44" s="304">
        <v>0</v>
      </c>
      <c r="L44" s="291"/>
      <c r="M44" s="295">
        <f t="shared" si="13"/>
        <v>287.30486428392396</v>
      </c>
      <c r="O44" s="395"/>
      <c r="P44" s="4"/>
    </row>
    <row r="45" spans="1:16" x14ac:dyDescent="0.25">
      <c r="A45" s="288" t="s">
        <v>180</v>
      </c>
      <c r="B45" s="211"/>
      <c r="C45" s="211"/>
      <c r="D45" s="211"/>
      <c r="E45" s="300">
        <f t="shared" si="8"/>
        <v>0.85075557506685628</v>
      </c>
      <c r="F45" s="289">
        <f>'DATI INPUT'!F33</f>
        <v>167.72710144927535</v>
      </c>
      <c r="G45" s="290">
        <f t="shared" si="9"/>
        <v>142.6947666477752</v>
      </c>
      <c r="H45" s="290">
        <f t="shared" si="10"/>
        <v>187.91249390958455</v>
      </c>
      <c r="I45" s="291">
        <f t="shared" si="11"/>
        <v>330.60726055735972</v>
      </c>
      <c r="J45" s="303">
        <f t="shared" si="12"/>
        <v>16.530363027867988</v>
      </c>
      <c r="K45" s="304">
        <v>0</v>
      </c>
      <c r="L45" s="291"/>
      <c r="M45" s="295">
        <f t="shared" si="13"/>
        <v>347.13762358522769</v>
      </c>
      <c r="O45" s="395"/>
      <c r="P45" s="4"/>
    </row>
    <row r="46" spans="1:16" x14ac:dyDescent="0.25">
      <c r="A46" s="288" t="s">
        <v>181</v>
      </c>
      <c r="B46" s="211"/>
      <c r="C46" s="211"/>
      <c r="D46" s="211"/>
      <c r="E46" s="300">
        <f t="shared" si="8"/>
        <v>0.90942837334732929</v>
      </c>
      <c r="F46" s="289">
        <f>'DATI INPUT'!F34</f>
        <v>174.97026315789472</v>
      </c>
      <c r="G46" s="290">
        <f t="shared" si="9"/>
        <v>159.12292180783834</v>
      </c>
      <c r="H46" s="290">
        <f t="shared" si="10"/>
        <v>229.49345433375228</v>
      </c>
      <c r="I46" s="291">
        <f t="shared" si="11"/>
        <v>388.61637614159065</v>
      </c>
      <c r="J46" s="303">
        <f t="shared" si="12"/>
        <v>19.430818807079532</v>
      </c>
      <c r="K46" s="304">
        <v>0</v>
      </c>
      <c r="L46" s="291"/>
      <c r="M46" s="295">
        <f t="shared" si="13"/>
        <v>408.04719494867015</v>
      </c>
      <c r="O46" s="395"/>
      <c r="P46" s="4"/>
    </row>
    <row r="47" spans="1:16" x14ac:dyDescent="0.25">
      <c r="A47" s="361" t="s">
        <v>182</v>
      </c>
      <c r="B47" s="362"/>
      <c r="C47" s="362"/>
      <c r="D47" s="362"/>
      <c r="E47" s="363">
        <f t="shared" si="8"/>
        <v>0.95343297205768385</v>
      </c>
      <c r="F47" s="364">
        <f>'DATI INPUT'!F35</f>
        <v>186.99770000000001</v>
      </c>
      <c r="G47" s="365">
        <f t="shared" si="9"/>
        <v>178.28977287895117</v>
      </c>
      <c r="H47" s="365">
        <f t="shared" si="10"/>
        <v>258.45569550671007</v>
      </c>
      <c r="I47" s="366">
        <f t="shared" si="11"/>
        <v>436.74546838566124</v>
      </c>
      <c r="J47" s="367">
        <f t="shared" si="12"/>
        <v>21.837273419283065</v>
      </c>
      <c r="K47" s="368">
        <v>0</v>
      </c>
      <c r="L47" s="366"/>
      <c r="M47" s="369">
        <f t="shared" si="13"/>
        <v>458.58274180494431</v>
      </c>
      <c r="O47" s="395"/>
      <c r="P47" s="4"/>
    </row>
    <row r="48" spans="1:16" x14ac:dyDescent="0.25">
      <c r="A48" s="370" t="s">
        <v>201</v>
      </c>
      <c r="B48" s="370"/>
      <c r="C48" s="370"/>
      <c r="D48" s="370"/>
      <c r="E48" s="371">
        <f t="shared" si="8"/>
        <v>0</v>
      </c>
      <c r="F48" s="372">
        <f>'DATI INPUT'!F37</f>
        <v>1</v>
      </c>
      <c r="G48" s="373">
        <f t="shared" ref="G48" si="14">E48*F48</f>
        <v>0</v>
      </c>
      <c r="H48" s="373">
        <f t="shared" si="10"/>
        <v>0</v>
      </c>
      <c r="I48" s="374">
        <f t="shared" ref="I48" si="15">G48+H48</f>
        <v>0</v>
      </c>
      <c r="J48" s="375">
        <f t="shared" ref="J48" si="16">I48*5%</f>
        <v>0</v>
      </c>
      <c r="K48" s="376">
        <v>0</v>
      </c>
      <c r="L48" s="374"/>
      <c r="M48" s="377">
        <f t="shared" ref="M48" si="17">I48+J48</f>
        <v>0</v>
      </c>
      <c r="O48" s="395"/>
      <c r="P48" s="4"/>
    </row>
    <row r="50" spans="1:15" ht="45" x14ac:dyDescent="0.25">
      <c r="A50" s="462" t="s">
        <v>264</v>
      </c>
      <c r="B50" s="463"/>
      <c r="C50" s="463"/>
      <c r="D50" s="464"/>
      <c r="E50" s="136" t="s">
        <v>42</v>
      </c>
      <c r="F50" s="136" t="s">
        <v>217</v>
      </c>
      <c r="G50" s="136" t="s">
        <v>194</v>
      </c>
      <c r="H50" s="136" t="s">
        <v>43</v>
      </c>
      <c r="I50" s="136" t="s">
        <v>44</v>
      </c>
      <c r="J50" s="186" t="s">
        <v>220</v>
      </c>
      <c r="K50" s="280" t="s">
        <v>41</v>
      </c>
      <c r="L50" s="136"/>
      <c r="M50" s="296" t="s">
        <v>268</v>
      </c>
      <c r="N50" s="176"/>
      <c r="O50" s="177" t="s">
        <v>269</v>
      </c>
    </row>
    <row r="51" spans="1:15" x14ac:dyDescent="0.25">
      <c r="A51" s="283" t="s">
        <v>177</v>
      </c>
      <c r="B51" s="284"/>
      <c r="C51" s="284"/>
      <c r="D51" s="284"/>
      <c r="E51" s="299">
        <f>RiepilogoTariffe!H6</f>
        <v>0.64</v>
      </c>
      <c r="F51" s="285">
        <f t="shared" ref="F51:F57" si="18">F42</f>
        <v>137.68330097087377</v>
      </c>
      <c r="G51" s="286">
        <f t="shared" ref="G51:G56" si="19">E51*F51</f>
        <v>88.117312621359218</v>
      </c>
      <c r="H51" s="292">
        <f>RiepilogoTariffe!I6</f>
        <v>70.040000000000006</v>
      </c>
      <c r="I51" s="287">
        <f t="shared" ref="I51:I56" si="20">G51+H51</f>
        <v>158.15731262135921</v>
      </c>
      <c r="J51" s="301">
        <f t="shared" ref="J51:J56" si="21">I51*5%</f>
        <v>7.9078656310679607</v>
      </c>
      <c r="K51" s="301">
        <v>0</v>
      </c>
      <c r="L51" s="287"/>
      <c r="M51" s="294">
        <f t="shared" ref="M51:M56" si="22">I51+J51</f>
        <v>166.06517825242716</v>
      </c>
      <c r="O51" s="281">
        <f t="shared" ref="O51:O57" si="23">M42-M51</f>
        <v>-1.9741435718476907</v>
      </c>
    </row>
    <row r="52" spans="1:15" x14ac:dyDescent="0.25">
      <c r="A52" s="288" t="s">
        <v>178</v>
      </c>
      <c r="B52" s="211"/>
      <c r="C52" s="211"/>
      <c r="D52" s="211"/>
      <c r="E52" s="300">
        <f>RiepilogoTariffe!H7</f>
        <v>0.75</v>
      </c>
      <c r="F52" s="289">
        <f t="shared" si="18"/>
        <v>165.69528037383179</v>
      </c>
      <c r="G52" s="290">
        <f t="shared" si="19"/>
        <v>124.27146028037384</v>
      </c>
      <c r="H52" s="293">
        <f>RiepilogoTariffe!I7</f>
        <v>124.43</v>
      </c>
      <c r="I52" s="291">
        <f t="shared" si="20"/>
        <v>248.70146028037385</v>
      </c>
      <c r="J52" s="303">
        <f t="shared" si="21"/>
        <v>12.435073014018693</v>
      </c>
      <c r="K52" s="303">
        <v>0</v>
      </c>
      <c r="L52" s="291"/>
      <c r="M52" s="295">
        <f t="shared" si="22"/>
        <v>261.13653329439256</v>
      </c>
      <c r="O52" s="281">
        <f t="shared" si="23"/>
        <v>-2.6354481496820767</v>
      </c>
    </row>
    <row r="53" spans="1:15" x14ac:dyDescent="0.25">
      <c r="A53" s="288" t="s">
        <v>179</v>
      </c>
      <c r="B53" s="211"/>
      <c r="C53" s="211"/>
      <c r="D53" s="211"/>
      <c r="E53" s="300">
        <f>RiepilogoTariffe!H8</f>
        <v>0.83</v>
      </c>
      <c r="F53" s="289">
        <f t="shared" si="18"/>
        <v>147.74962765957446</v>
      </c>
      <c r="G53" s="290">
        <f t="shared" si="19"/>
        <v>122.6321909574468</v>
      </c>
      <c r="H53" s="293">
        <f>RiepilogoTariffe!I8</f>
        <v>153.47999999999999</v>
      </c>
      <c r="I53" s="291">
        <f t="shared" si="20"/>
        <v>276.11219095744678</v>
      </c>
      <c r="J53" s="303">
        <f t="shared" si="21"/>
        <v>13.80560954787234</v>
      </c>
      <c r="K53" s="303">
        <v>0</v>
      </c>
      <c r="L53" s="291"/>
      <c r="M53" s="295">
        <f t="shared" si="22"/>
        <v>289.91780050531912</v>
      </c>
      <c r="O53" s="281">
        <f t="shared" si="23"/>
        <v>-2.6129362213951595</v>
      </c>
    </row>
    <row r="54" spans="1:15" x14ac:dyDescent="0.25">
      <c r="A54" s="288" t="s">
        <v>180</v>
      </c>
      <c r="B54" s="211"/>
      <c r="C54" s="211"/>
      <c r="D54" s="211"/>
      <c r="E54" s="300">
        <f>RiepilogoTariffe!H9</f>
        <v>0.89</v>
      </c>
      <c r="F54" s="289">
        <f t="shared" si="18"/>
        <v>167.72710144927535</v>
      </c>
      <c r="G54" s="290">
        <f t="shared" si="19"/>
        <v>149.27712028985508</v>
      </c>
      <c r="H54" s="293">
        <f>RiepilogoTariffe!I9</f>
        <v>184.03</v>
      </c>
      <c r="I54" s="291">
        <f t="shared" si="20"/>
        <v>333.30712028985511</v>
      </c>
      <c r="J54" s="303">
        <f t="shared" si="21"/>
        <v>16.665356014492755</v>
      </c>
      <c r="K54" s="303">
        <v>0</v>
      </c>
      <c r="L54" s="291"/>
      <c r="M54" s="295">
        <f t="shared" si="22"/>
        <v>349.97247630434788</v>
      </c>
      <c r="O54" s="281">
        <f t="shared" si="23"/>
        <v>-2.8348527191201924</v>
      </c>
    </row>
    <row r="55" spans="1:15" x14ac:dyDescent="0.25">
      <c r="A55" s="288" t="s">
        <v>181</v>
      </c>
      <c r="B55" s="211"/>
      <c r="C55" s="211"/>
      <c r="D55" s="211"/>
      <c r="E55" s="300">
        <f>RiepilogoTariffe!H10</f>
        <v>0.95</v>
      </c>
      <c r="F55" s="289">
        <f t="shared" si="18"/>
        <v>174.97026315789472</v>
      </c>
      <c r="G55" s="290">
        <f t="shared" si="19"/>
        <v>166.22174999999999</v>
      </c>
      <c r="H55" s="293">
        <f>RiepilogoTariffe!I10</f>
        <v>225.01</v>
      </c>
      <c r="I55" s="291">
        <f t="shared" si="20"/>
        <v>391.23174999999998</v>
      </c>
      <c r="J55" s="303">
        <f t="shared" si="21"/>
        <v>19.561587500000002</v>
      </c>
      <c r="K55" s="303">
        <v>0</v>
      </c>
      <c r="L55" s="291"/>
      <c r="M55" s="295">
        <f t="shared" si="22"/>
        <v>410.79333750000001</v>
      </c>
      <c r="O55" s="281">
        <f t="shared" si="23"/>
        <v>-2.7461425513298536</v>
      </c>
    </row>
    <row r="56" spans="1:15" x14ac:dyDescent="0.25">
      <c r="A56" s="361" t="s">
        <v>182</v>
      </c>
      <c r="B56" s="362"/>
      <c r="C56" s="362"/>
      <c r="D56" s="362"/>
      <c r="E56" s="363">
        <f>RiepilogoTariffe!H11</f>
        <v>1</v>
      </c>
      <c r="F56" s="364">
        <f t="shared" si="18"/>
        <v>186.99770000000001</v>
      </c>
      <c r="G56" s="365">
        <f t="shared" si="19"/>
        <v>186.99770000000001</v>
      </c>
      <c r="H56" s="378">
        <f>RiepilogoTariffe!I11</f>
        <v>253.32</v>
      </c>
      <c r="I56" s="366">
        <f t="shared" si="20"/>
        <v>440.3177</v>
      </c>
      <c r="J56" s="367">
        <f t="shared" si="21"/>
        <v>22.015885000000001</v>
      </c>
      <c r="K56" s="367">
        <v>0</v>
      </c>
      <c r="L56" s="366"/>
      <c r="M56" s="369">
        <f t="shared" si="22"/>
        <v>462.33358500000003</v>
      </c>
      <c r="O56" s="281">
        <f t="shared" si="23"/>
        <v>-3.7508431950557224</v>
      </c>
    </row>
    <row r="57" spans="1:15" x14ac:dyDescent="0.25">
      <c r="A57" s="370" t="s">
        <v>201</v>
      </c>
      <c r="B57" s="370"/>
      <c r="C57" s="370"/>
      <c r="D57" s="370"/>
      <c r="E57" s="371">
        <f>RiepilogoTariffe!H12</f>
        <v>0</v>
      </c>
      <c r="F57" s="372">
        <f t="shared" si="18"/>
        <v>1</v>
      </c>
      <c r="G57" s="373">
        <f t="shared" ref="G57" si="24">E57*F57</f>
        <v>0</v>
      </c>
      <c r="H57" s="379">
        <f>RiepilogoTariffe!I12</f>
        <v>0</v>
      </c>
      <c r="I57" s="374">
        <f t="shared" ref="I57" si="25">G57+H57</f>
        <v>0</v>
      </c>
      <c r="J57" s="375">
        <f t="shared" ref="J57" si="26">I57*5%</f>
        <v>0</v>
      </c>
      <c r="K57" s="375">
        <v>0</v>
      </c>
      <c r="L57" s="374"/>
      <c r="M57" s="377">
        <f t="shared" ref="M57" si="27">I57+J57</f>
        <v>0</v>
      </c>
      <c r="O57" s="282">
        <f t="shared" si="23"/>
        <v>0</v>
      </c>
    </row>
    <row r="59" spans="1:15" x14ac:dyDescent="0.25">
      <c r="M59" s="190"/>
      <c r="O59" s="190"/>
    </row>
  </sheetData>
  <mergeCells count="6">
    <mergeCell ref="A50:D50"/>
    <mergeCell ref="A41:D41"/>
    <mergeCell ref="A1:P1"/>
    <mergeCell ref="A7:M7"/>
    <mergeCell ref="A23:M23"/>
    <mergeCell ref="A39:P39"/>
  </mergeCells>
  <phoneticPr fontId="30" type="noConversion"/>
  <conditionalFormatting sqref="J14"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J15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J16"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J17"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J18"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J19:J20"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J30">
    <cfRule type="iconSet" priority="6">
      <iconSet reverse="1">
        <cfvo type="percent" val="0"/>
        <cfvo type="num" val="0.61"/>
        <cfvo type="num" val="1"/>
      </iconSet>
    </cfRule>
    <cfRule type="iconSet" priority="7">
      <iconSet reverse="1">
        <cfvo type="percent" val="0"/>
        <cfvo type="percent" val="0.61"/>
        <cfvo type="percent" val="1"/>
      </iconSet>
    </cfRule>
    <cfRule type="iconSet" priority="8">
      <iconSet reverse="1">
        <cfvo type="percent" val="0"/>
        <cfvo type="num" val="1" gte="0"/>
        <cfvo type="num" val="1"/>
      </iconSet>
    </cfRule>
  </conditionalFormatting>
  <conditionalFormatting sqref="J31">
    <cfRule type="iconSet" priority="5">
      <iconSet reverse="1">
        <cfvo type="percent" val="0"/>
        <cfvo type="num" val="1.41"/>
        <cfvo type="num" val="1.8"/>
      </iconSet>
    </cfRule>
  </conditionalFormatting>
  <conditionalFormatting sqref="J32">
    <cfRule type="iconSet" priority="4">
      <iconSet reverse="1">
        <cfvo type="percent" val="0"/>
        <cfvo type="num" val="1.81"/>
        <cfvo type="num" val="2.2999999999999998"/>
      </iconSet>
    </cfRule>
  </conditionalFormatting>
  <conditionalFormatting sqref="J33">
    <cfRule type="iconSet" priority="3">
      <iconSet reverse="1">
        <cfvo type="percent" val="0"/>
        <cfvo type="num" val="2.21"/>
        <cfvo type="num" val="3"/>
      </iconSet>
    </cfRule>
  </conditionalFormatting>
  <conditionalFormatting sqref="J34">
    <cfRule type="iconSet" priority="2">
      <iconSet reverse="1">
        <cfvo type="percent" val="0"/>
        <cfvo type="num" val="2.91"/>
        <cfvo type="num" val="3.6"/>
      </iconSet>
    </cfRule>
  </conditionalFormatting>
  <conditionalFormatting sqref="J35:J36">
    <cfRule type="iconSet" priority="1">
      <iconSet reverse="1">
        <cfvo type="percent" val="0"/>
        <cfvo type="num" val="3.41"/>
        <cfvo type="num" val="4.0999999999999996"/>
      </iconSet>
    </cfRule>
  </conditionalFormatting>
  <pageMargins left="0.47244094488188981" right="0.47244094488188981" top="0.47244094488188981" bottom="0.43307086614173229" header="0.31496062992125984" footer="0.31496062992125984"/>
  <pageSetup paperSize="9" scale="65" orientation="landscape" r:id="rId1"/>
  <headerFooter>
    <oddHeader>&amp;R2 - UTENZE DOMESTICHE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44"/>
  <sheetViews>
    <sheetView zoomScale="85" zoomScaleNormal="85" workbookViewId="0">
      <selection activeCell="K107" sqref="K107"/>
    </sheetView>
  </sheetViews>
  <sheetFormatPr defaultRowHeight="15" x14ac:dyDescent="0.25"/>
  <cols>
    <col min="7" max="9" width="14.140625" customWidth="1"/>
    <col min="10" max="10" width="10.7109375" customWidth="1"/>
    <col min="11" max="13" width="14.140625" customWidth="1"/>
    <col min="14" max="14" width="1.7109375" customWidth="1"/>
    <col min="15" max="15" width="13.28515625" customWidth="1"/>
    <col min="16" max="16" width="1.5703125" customWidth="1"/>
    <col min="17" max="17" width="12.7109375" customWidth="1"/>
  </cols>
  <sheetData>
    <row r="1" spans="1:15" x14ac:dyDescent="0.25">
      <c r="A1" s="471" t="s">
        <v>143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3"/>
    </row>
    <row r="2" spans="1:15" ht="7.5" customHeight="1" x14ac:dyDescent="0.25"/>
    <row r="3" spans="1:15" x14ac:dyDescent="0.25">
      <c r="A3" t="s">
        <v>169</v>
      </c>
      <c r="I3" s="3">
        <f>'DATI INPUT'!C25</f>
        <v>213603</v>
      </c>
      <c r="J3" s="3"/>
      <c r="M3" s="128"/>
    </row>
    <row r="4" spans="1:15" ht="7.5" customHeight="1" x14ac:dyDescent="0.25"/>
    <row r="5" spans="1:15" x14ac:dyDescent="0.25">
      <c r="A5" t="s">
        <v>142</v>
      </c>
      <c r="I5" s="4">
        <f>'DATI INPUT'!E25</f>
        <v>0.19999999999999996</v>
      </c>
      <c r="J5" s="12" t="s">
        <v>93</v>
      </c>
      <c r="K5" s="3">
        <f>I3*I5</f>
        <v>42720.599999999991</v>
      </c>
      <c r="M5" s="30"/>
    </row>
    <row r="6" spans="1:15" ht="7.5" customHeight="1" x14ac:dyDescent="0.25"/>
    <row r="7" spans="1:15" x14ac:dyDescent="0.25">
      <c r="A7" s="471" t="s">
        <v>132</v>
      </c>
      <c r="B7" s="472"/>
      <c r="C7" s="472"/>
      <c r="D7" s="472"/>
      <c r="E7" s="472"/>
      <c r="F7" s="472"/>
      <c r="G7" s="472"/>
      <c r="H7" s="472"/>
      <c r="I7" s="472"/>
      <c r="J7" s="472"/>
      <c r="K7" s="472"/>
      <c r="L7" s="472"/>
      <c r="M7" s="473"/>
    </row>
    <row r="8" spans="1:15" ht="7.5" customHeight="1" x14ac:dyDescent="0.25"/>
    <row r="9" spans="1:15" x14ac:dyDescent="0.25">
      <c r="A9" t="s">
        <v>72</v>
      </c>
      <c r="I9" s="4">
        <f>'DATI INPUT'!C20</f>
        <v>0.46589233297285149</v>
      </c>
    </row>
    <row r="10" spans="1:15" ht="7.5" customHeight="1" x14ac:dyDescent="0.25"/>
    <row r="11" spans="1:15" x14ac:dyDescent="0.25">
      <c r="A11" t="s">
        <v>96</v>
      </c>
      <c r="K11" s="3">
        <f>K5*I9</f>
        <v>19903.199999999993</v>
      </c>
      <c r="M11" s="3"/>
    </row>
    <row r="12" spans="1:15" ht="7.5" customHeight="1" x14ac:dyDescent="0.25">
      <c r="I12" s="3"/>
    </row>
    <row r="13" spans="1:15" ht="45" x14ac:dyDescent="0.25">
      <c r="I13" s="46" t="s">
        <v>139</v>
      </c>
      <c r="J13" s="40" t="s">
        <v>167</v>
      </c>
      <c r="K13" s="46" t="s">
        <v>152</v>
      </c>
      <c r="L13" s="46" t="s">
        <v>98</v>
      </c>
      <c r="M13" s="46" t="s">
        <v>146</v>
      </c>
    </row>
    <row r="14" spans="1:15" x14ac:dyDescent="0.25">
      <c r="A14">
        <v>1</v>
      </c>
      <c r="B14" t="s">
        <v>99</v>
      </c>
      <c r="I14" s="30">
        <f>IF('DATI INPUT'!$I$48="X",'DATI INPUT'!G48,'DATI INPUT'!E48)</f>
        <v>74.45</v>
      </c>
      <c r="J14" s="179">
        <f>'DATI INPUT'!F105</f>
        <v>0.51</v>
      </c>
      <c r="K14" s="3">
        <f>I14*J14</f>
        <v>37.969500000000004</v>
      </c>
      <c r="L14" s="3">
        <f>K11/K46*K14</f>
        <v>51.018313309900307</v>
      </c>
      <c r="M14" s="8">
        <f>L14/I14</f>
        <v>0.68526948703694168</v>
      </c>
    </row>
    <row r="15" spans="1:15" x14ac:dyDescent="0.25">
      <c r="A15">
        <v>2</v>
      </c>
      <c r="B15" t="s">
        <v>100</v>
      </c>
      <c r="I15" s="30">
        <f>IF('DATI INPUT'!$I$48="X",'DATI INPUT'!G49,'DATI INPUT'!E49)</f>
        <v>9.9999999999999994E-12</v>
      </c>
      <c r="J15" s="180">
        <f>'DATI INPUT'!F106</f>
        <v>0.8</v>
      </c>
      <c r="K15" s="3">
        <f>I15*J15</f>
        <v>7.9999999999999998E-12</v>
      </c>
      <c r="L15" s="3">
        <f>K11/K46*K15</f>
        <v>1.0749325286853987E-11</v>
      </c>
      <c r="M15" s="8">
        <f t="shared" ref="M15:M45" si="0">L15/I15</f>
        <v>1.0749325286853988</v>
      </c>
    </row>
    <row r="16" spans="1:15" x14ac:dyDescent="0.25">
      <c r="A16">
        <v>3</v>
      </c>
      <c r="B16" t="s">
        <v>101</v>
      </c>
      <c r="I16" s="30">
        <f>IF('DATI INPUT'!$I$48="X",'DATI INPUT'!G50,'DATI INPUT'!E50)</f>
        <v>9.9999999999999994E-12</v>
      </c>
      <c r="J16" s="181">
        <f>'DATI INPUT'!F107</f>
        <v>0.63</v>
      </c>
      <c r="K16" s="3">
        <f t="shared" ref="K16:K40" si="1">I16*J16</f>
        <v>6.2999999999999994E-12</v>
      </c>
      <c r="L16" s="3">
        <f>K11/K46*K16</f>
        <v>8.4650936633975139E-12</v>
      </c>
      <c r="M16" s="8">
        <f t="shared" si="0"/>
        <v>0.84650936633975149</v>
      </c>
    </row>
    <row r="17" spans="1:13" x14ac:dyDescent="0.25">
      <c r="A17">
        <v>4</v>
      </c>
      <c r="B17" t="s">
        <v>102</v>
      </c>
      <c r="I17" s="30">
        <f>IF('DATI INPUT'!$I$48="X",'DATI INPUT'!G51,'DATI INPUT'!E51)</f>
        <v>91</v>
      </c>
      <c r="J17" s="180">
        <f>'DATI INPUT'!F108</f>
        <v>0.43</v>
      </c>
      <c r="K17" s="3">
        <f t="shared" si="1"/>
        <v>39.130000000000003</v>
      </c>
      <c r="L17" s="3">
        <f>K11/K46*K17</f>
        <v>52.577637309324565</v>
      </c>
      <c r="M17" s="8">
        <f t="shared" si="0"/>
        <v>0.57777623416840185</v>
      </c>
    </row>
    <row r="18" spans="1:13" x14ac:dyDescent="0.25">
      <c r="A18">
        <v>5</v>
      </c>
      <c r="B18" t="s">
        <v>103</v>
      </c>
      <c r="I18" s="30">
        <f>IF('DATI INPUT'!$I$48="X",'DATI INPUT'!G52,'DATI INPUT'!E52)</f>
        <v>1E-3</v>
      </c>
      <c r="J18" s="180">
        <f>'DATI INPUT'!F109</f>
        <v>1.33</v>
      </c>
      <c r="K18" s="3">
        <f t="shared" si="1"/>
        <v>1.33E-3</v>
      </c>
      <c r="L18" s="3">
        <f>K11/K46*K18</f>
        <v>1.7870753289394752E-3</v>
      </c>
      <c r="M18" s="8">
        <f t="shared" si="0"/>
        <v>1.7870753289394752</v>
      </c>
    </row>
    <row r="19" spans="1:13" x14ac:dyDescent="0.25">
      <c r="A19">
        <v>6</v>
      </c>
      <c r="B19" t="s">
        <v>104</v>
      </c>
      <c r="I19" s="30">
        <f>IF('DATI INPUT'!$I$48="X",'DATI INPUT'!G53,'DATI INPUT'!E53)</f>
        <v>58.81</v>
      </c>
      <c r="J19" s="181">
        <f>'DATI INPUT'!F110</f>
        <v>0.91</v>
      </c>
      <c r="K19" s="3">
        <f t="shared" si="1"/>
        <v>53.517100000000006</v>
      </c>
      <c r="L19" s="3">
        <f>K11/K46*K19</f>
        <v>71.909089538636692</v>
      </c>
      <c r="M19" s="8">
        <f t="shared" si="0"/>
        <v>1.2227357513796411</v>
      </c>
    </row>
    <row r="20" spans="1:13" x14ac:dyDescent="0.25">
      <c r="A20">
        <v>7</v>
      </c>
      <c r="B20" t="s">
        <v>105</v>
      </c>
      <c r="I20" s="30">
        <f>IF('DATI INPUT'!$I$48="X",'DATI INPUT'!G54,'DATI INPUT'!E54)</f>
        <v>9.9999999999999994E-12</v>
      </c>
      <c r="J20" s="181">
        <f>'DATI INPUT'!F111</f>
        <v>1</v>
      </c>
      <c r="K20" s="3">
        <f t="shared" si="1"/>
        <v>9.9999999999999994E-12</v>
      </c>
      <c r="L20" s="3">
        <f>K11/K46*K20</f>
        <v>1.3436656608567483E-11</v>
      </c>
      <c r="M20" s="8">
        <f t="shared" si="0"/>
        <v>1.3436656608567483</v>
      </c>
    </row>
    <row r="21" spans="1:13" x14ac:dyDescent="0.25">
      <c r="A21">
        <v>8</v>
      </c>
      <c r="B21" t="s">
        <v>106</v>
      </c>
      <c r="I21" s="30">
        <f>IF('DATI INPUT'!$I$48="X",'DATI INPUT'!G55,'DATI INPUT'!E55)</f>
        <v>1364.86</v>
      </c>
      <c r="J21" s="181">
        <f>'DATI INPUT'!F112</f>
        <v>1.1299999999999999</v>
      </c>
      <c r="K21" s="3">
        <f t="shared" si="1"/>
        <v>1542.2917999999997</v>
      </c>
      <c r="L21" s="3">
        <f>K11/K46*K21</f>
        <v>2072.3245306809436</v>
      </c>
      <c r="M21" s="8">
        <f t="shared" si="0"/>
        <v>1.5183421967681254</v>
      </c>
    </row>
    <row r="22" spans="1:13" x14ac:dyDescent="0.25">
      <c r="A22">
        <v>9</v>
      </c>
      <c r="B22" t="s">
        <v>107</v>
      </c>
      <c r="I22" s="30">
        <f>IF('DATI INPUT'!$I$48="X",'DATI INPUT'!G56,'DATI INPUT'!E56)</f>
        <v>232.74</v>
      </c>
      <c r="J22" s="181">
        <f>'DATI INPUT'!F113</f>
        <v>0.57999999999999996</v>
      </c>
      <c r="K22" s="3">
        <f t="shared" si="1"/>
        <v>134.98919999999998</v>
      </c>
      <c r="L22" s="3">
        <f>K11/K46*K22</f>
        <v>181.38035262652375</v>
      </c>
      <c r="M22" s="8">
        <f t="shared" si="0"/>
        <v>0.77932608329691389</v>
      </c>
    </row>
    <row r="23" spans="1:13" x14ac:dyDescent="0.25">
      <c r="A23">
        <v>10</v>
      </c>
      <c r="B23" t="s">
        <v>230</v>
      </c>
      <c r="I23" s="30">
        <v>1E-3</v>
      </c>
      <c r="J23" s="181">
        <f>'DATI INPUT'!F114</f>
        <v>1.1100000000000001</v>
      </c>
      <c r="K23" s="3">
        <f t="shared" si="1"/>
        <v>1.1100000000000001E-3</v>
      </c>
      <c r="L23" s="3">
        <f>K11/K46*K23</f>
        <v>1.4914688835509908E-3</v>
      </c>
      <c r="M23" s="8">
        <f t="shared" si="0"/>
        <v>1.4914688835509908</v>
      </c>
    </row>
    <row r="24" spans="1:13" x14ac:dyDescent="0.25">
      <c r="A24">
        <v>11</v>
      </c>
      <c r="B24" t="s">
        <v>108</v>
      </c>
      <c r="I24" s="30">
        <f>IF('DATI INPUT'!$I$48="X",'DATI INPUT'!G58,'DATI INPUT'!E58)</f>
        <v>90</v>
      </c>
      <c r="J24" s="181">
        <f>'DATI INPUT'!F115</f>
        <v>1.52</v>
      </c>
      <c r="K24" s="3">
        <f t="shared" si="1"/>
        <v>136.80000000000001</v>
      </c>
      <c r="L24" s="3">
        <f>K11/K46*K24</f>
        <v>183.81346240520318</v>
      </c>
      <c r="M24" s="8">
        <f t="shared" si="0"/>
        <v>2.0423718045022574</v>
      </c>
    </row>
    <row r="25" spans="1:13" x14ac:dyDescent="0.25">
      <c r="A25">
        <v>12</v>
      </c>
      <c r="B25" t="s">
        <v>0</v>
      </c>
      <c r="I25" s="30">
        <f>IF('DATI INPUT'!$I$48="X",'DATI INPUT'!G59,'DATI INPUT'!E59)</f>
        <v>54.6</v>
      </c>
      <c r="J25" s="181">
        <f>'DATI INPUT'!F116</f>
        <v>1.04</v>
      </c>
      <c r="K25" s="3">
        <f t="shared" si="1"/>
        <v>56.784000000000006</v>
      </c>
      <c r="L25" s="3">
        <f>K11/K46*K25</f>
        <v>76.298710886089609</v>
      </c>
      <c r="M25" s="8">
        <f t="shared" si="0"/>
        <v>1.3974122872910184</v>
      </c>
    </row>
    <row r="26" spans="1:13" x14ac:dyDescent="0.25">
      <c r="A26">
        <v>13</v>
      </c>
      <c r="B26" t="s">
        <v>109</v>
      </c>
      <c r="I26" s="30">
        <f>IF('DATI INPUT'!$I$48="X",'DATI INPUT'!G60,'DATI INPUT'!E60)</f>
        <v>9.9999999999999994E-12</v>
      </c>
      <c r="J26" s="181">
        <f>'DATI INPUT'!F117</f>
        <v>1.1599999999999999</v>
      </c>
      <c r="K26" s="3">
        <f t="shared" si="1"/>
        <v>1.1599999999999999E-11</v>
      </c>
      <c r="L26" s="3">
        <f>K11/K46*K26</f>
        <v>1.5586521665938279E-11</v>
      </c>
      <c r="M26" s="8">
        <f t="shared" si="0"/>
        <v>1.558652166593828</v>
      </c>
    </row>
    <row r="27" spans="1:13" x14ac:dyDescent="0.25">
      <c r="A27">
        <v>14</v>
      </c>
      <c r="B27" t="s">
        <v>110</v>
      </c>
      <c r="I27" s="30">
        <f>IF('DATI INPUT'!$I$48="X",'DATI INPUT'!G61,'DATI INPUT'!E61)</f>
        <v>3285.45</v>
      </c>
      <c r="J27" s="181">
        <f>'DATI INPUT'!F118</f>
        <v>0.91</v>
      </c>
      <c r="K27" s="3">
        <f t="shared" si="1"/>
        <v>2989.7595000000001</v>
      </c>
      <c r="L27" s="3">
        <f>K11/K46*K27</f>
        <v>4017.2371743702415</v>
      </c>
      <c r="M27" s="8">
        <f t="shared" si="0"/>
        <v>1.2227357513796411</v>
      </c>
    </row>
    <row r="28" spans="1:13" x14ac:dyDescent="0.25">
      <c r="A28">
        <v>15</v>
      </c>
      <c r="B28" t="s">
        <v>111</v>
      </c>
      <c r="I28" s="30">
        <f>IF('DATI INPUT'!$I$48="X",'DATI INPUT'!G62,'DATI INPUT'!E62)</f>
        <v>5943.02</v>
      </c>
      <c r="J28" s="181">
        <f>'DATI INPUT'!F119</f>
        <v>1.0900000000000001</v>
      </c>
      <c r="K28" s="3">
        <f t="shared" si="1"/>
        <v>6477.8918000000012</v>
      </c>
      <c r="L28" s="3">
        <f>K11/K46*K28</f>
        <v>8704.1207664055128</v>
      </c>
      <c r="M28" s="8">
        <f t="shared" si="0"/>
        <v>1.4645955703338558</v>
      </c>
    </row>
    <row r="29" spans="1:13" x14ac:dyDescent="0.25">
      <c r="A29">
        <v>16</v>
      </c>
      <c r="B29" t="s">
        <v>112</v>
      </c>
      <c r="I29" s="30">
        <f>IF('DATI INPUT'!$I$48="X",'DATI INPUT'!G63,'DATI INPUT'!E63)</f>
        <v>164.9</v>
      </c>
      <c r="J29" s="181">
        <f>'DATI INPUT'!F120</f>
        <v>4.84</v>
      </c>
      <c r="K29" s="3">
        <f t="shared" si="1"/>
        <v>798.11599999999999</v>
      </c>
      <c r="L29" s="3">
        <f>K11/K46*K29</f>
        <v>1072.4010625803446</v>
      </c>
      <c r="M29" s="8">
        <f t="shared" si="0"/>
        <v>6.5033417985466624</v>
      </c>
    </row>
    <row r="30" spans="1:13" x14ac:dyDescent="0.25">
      <c r="A30">
        <v>17</v>
      </c>
      <c r="B30" t="s">
        <v>113</v>
      </c>
      <c r="I30" s="30">
        <f>IF('DATI INPUT'!$I$48="X",'DATI INPUT'!G64,'DATI INPUT'!E64)</f>
        <v>514.45000000000005</v>
      </c>
      <c r="J30" s="181">
        <f>'DATI INPUT'!F121</f>
        <v>3.64</v>
      </c>
      <c r="K30" s="3">
        <f t="shared" si="1"/>
        <v>1872.5980000000002</v>
      </c>
      <c r="L30" s="3">
        <f>K11/K46*K30</f>
        <v>2516.1456291890254</v>
      </c>
      <c r="M30" s="8">
        <f t="shared" si="0"/>
        <v>4.8909430055185634</v>
      </c>
    </row>
    <row r="31" spans="1:13" x14ac:dyDescent="0.25">
      <c r="A31">
        <v>18</v>
      </c>
      <c r="B31" t="s">
        <v>1</v>
      </c>
      <c r="I31" s="30">
        <f>IF('DATI INPUT'!$I$48="X",'DATI INPUT'!G65,'DATI INPUT'!E65)</f>
        <v>70.5</v>
      </c>
      <c r="J31" s="181">
        <f>'DATI INPUT'!F122</f>
        <v>2.1320000000000001</v>
      </c>
      <c r="K31" s="3">
        <f t="shared" si="1"/>
        <v>150.30600000000001</v>
      </c>
      <c r="L31" s="3">
        <f>K11/K46*K31</f>
        <v>201.96101082073443</v>
      </c>
      <c r="M31" s="8">
        <f t="shared" si="0"/>
        <v>2.8646951889465875</v>
      </c>
    </row>
    <row r="32" spans="1:13" x14ac:dyDescent="0.25">
      <c r="A32">
        <v>19</v>
      </c>
      <c r="B32" t="s">
        <v>114</v>
      </c>
      <c r="I32" s="30">
        <f>IF('DATI INPUT'!$I$48="X",'DATI INPUT'!G66,'DATI INPUT'!E66)</f>
        <v>239.44</v>
      </c>
      <c r="J32" s="181">
        <f>'DATI INPUT'!F123</f>
        <v>2.1819999999999999</v>
      </c>
      <c r="K32" s="3">
        <f t="shared" si="1"/>
        <v>522.45808</v>
      </c>
      <c r="L32" s="3">
        <f>K11/K46*K32</f>
        <v>702.00898133314786</v>
      </c>
      <c r="M32" s="8">
        <f t="shared" si="0"/>
        <v>2.9318784719894246</v>
      </c>
    </row>
    <row r="33" spans="1:13" x14ac:dyDescent="0.25">
      <c r="A33">
        <v>20</v>
      </c>
      <c r="B33" t="s">
        <v>115</v>
      </c>
      <c r="I33" s="30">
        <f>IF('DATI INPUT'!$I$48="X",'DATI INPUT'!G67,'DATI INPUT'!E67)</f>
        <v>9.9999999999999994E-12</v>
      </c>
      <c r="J33" s="181">
        <f>'DATI INPUT'!F124</f>
        <v>6.06</v>
      </c>
      <c r="K33" s="3">
        <f t="shared" si="1"/>
        <v>6.059999999999999E-11</v>
      </c>
      <c r="L33" s="3">
        <f>K11/K46*K33</f>
        <v>8.1426139047918932E-11</v>
      </c>
      <c r="M33" s="8">
        <f t="shared" si="0"/>
        <v>8.1426139047918937</v>
      </c>
    </row>
    <row r="34" spans="1:13" x14ac:dyDescent="0.25">
      <c r="A34">
        <v>21</v>
      </c>
      <c r="B34" t="s">
        <v>116</v>
      </c>
      <c r="I34" s="30">
        <f>IF('DATI INPUT'!$I$48="X",'DATI INPUT'!G68,'DATI INPUT'!E68)</f>
        <v>9.9999999999999994E-12</v>
      </c>
      <c r="J34" s="181">
        <f>'DATI INPUT'!F125</f>
        <v>1.64</v>
      </c>
      <c r="K34" s="3">
        <f t="shared" si="1"/>
        <v>1.64E-11</v>
      </c>
      <c r="L34" s="3">
        <f>K11/K46*K34</f>
        <v>2.2036116838050673E-11</v>
      </c>
      <c r="M34" s="8">
        <f t="shared" si="0"/>
        <v>2.2036116838050672</v>
      </c>
    </row>
    <row r="35" spans="1:13" x14ac:dyDescent="0.25">
      <c r="I35" s="30">
        <f>IF('DATI INPUT'!$I$48="X",'DATI INPUT'!G69,'DATI INPUT'!E69)</f>
        <v>0</v>
      </c>
      <c r="J35" s="181">
        <f>'DATI INPUT'!F126</f>
        <v>0</v>
      </c>
      <c r="K35" s="3">
        <f t="shared" si="1"/>
        <v>0</v>
      </c>
      <c r="L35" s="3">
        <f>K11/K46*K35</f>
        <v>0</v>
      </c>
      <c r="M35" s="8" t="e">
        <f t="shared" si="0"/>
        <v>#DIV/0!</v>
      </c>
    </row>
    <row r="36" spans="1:13" x14ac:dyDescent="0.25">
      <c r="A36" s="99"/>
      <c r="B36" s="191"/>
      <c r="I36" s="30">
        <f>IF('DATI INPUT'!$I$48="X",'DATI INPUT'!G70,'DATI INPUT'!E70)</f>
        <v>0</v>
      </c>
      <c r="J36" s="181">
        <f>'DATI INPUT'!F127</f>
        <v>0</v>
      </c>
      <c r="K36" s="3">
        <f>I36*J36</f>
        <v>0</v>
      </c>
      <c r="L36" s="3">
        <f>K11/K46*K36</f>
        <v>0</v>
      </c>
      <c r="M36" s="8" t="e">
        <f>L36/I36</f>
        <v>#DIV/0!</v>
      </c>
    </row>
    <row r="37" spans="1:13" x14ac:dyDescent="0.25">
      <c r="I37" s="30">
        <f>IF('DATI INPUT'!$I$48="X",'DATI INPUT'!G71,'DATI INPUT'!E71)</f>
        <v>0</v>
      </c>
      <c r="J37" s="181">
        <f>'DATI INPUT'!F128</f>
        <v>0</v>
      </c>
      <c r="K37" s="3">
        <f t="shared" si="1"/>
        <v>0</v>
      </c>
      <c r="L37" s="3">
        <f>K11/K46*K37</f>
        <v>0</v>
      </c>
      <c r="M37" s="8" t="e">
        <f t="shared" si="0"/>
        <v>#DIV/0!</v>
      </c>
    </row>
    <row r="38" spans="1:13" x14ac:dyDescent="0.25">
      <c r="I38" s="30">
        <f>IF('DATI INPUT'!$I$48="X",'DATI INPUT'!G72,'DATI INPUT'!E72)</f>
        <v>0</v>
      </c>
      <c r="J38" s="181">
        <f>'DATI INPUT'!F129</f>
        <v>0</v>
      </c>
      <c r="K38" s="3">
        <f t="shared" si="1"/>
        <v>0</v>
      </c>
      <c r="L38" s="3">
        <f>K11/K46*K38</f>
        <v>0</v>
      </c>
      <c r="M38" s="8" t="e">
        <f t="shared" si="0"/>
        <v>#DIV/0!</v>
      </c>
    </row>
    <row r="39" spans="1:13" x14ac:dyDescent="0.25">
      <c r="I39" s="30">
        <f>IF('DATI INPUT'!$I$48="X",'DATI INPUT'!G73,'DATI INPUT'!E73)</f>
        <v>0</v>
      </c>
      <c r="J39" s="181">
        <f>'DATI INPUT'!F130</f>
        <v>0</v>
      </c>
      <c r="K39" s="3">
        <f t="shared" si="1"/>
        <v>0</v>
      </c>
      <c r="L39" s="3">
        <f>K11/K46*K39</f>
        <v>0</v>
      </c>
      <c r="M39" s="8" t="e">
        <f t="shared" si="0"/>
        <v>#DIV/0!</v>
      </c>
    </row>
    <row r="40" spans="1:13" x14ac:dyDescent="0.25">
      <c r="I40" s="30">
        <f>IF('DATI INPUT'!$I$48="X",'DATI INPUT'!G74,'DATI INPUT'!E74)</f>
        <v>0</v>
      </c>
      <c r="J40" s="181">
        <f>'DATI INPUT'!F131</f>
        <v>0</v>
      </c>
      <c r="K40" s="3">
        <f t="shared" si="1"/>
        <v>0</v>
      </c>
      <c r="L40" s="3">
        <f>K11/K46*K40</f>
        <v>0</v>
      </c>
      <c r="M40" s="8" t="e">
        <f t="shared" si="0"/>
        <v>#DIV/0!</v>
      </c>
    </row>
    <row r="41" spans="1:13" x14ac:dyDescent="0.25">
      <c r="I41" s="30">
        <f>IF('DATI INPUT'!$I$48="X",'DATI INPUT'!G75,'DATI INPUT'!E75)</f>
        <v>0</v>
      </c>
      <c r="J41" s="181">
        <f>'DATI INPUT'!F132</f>
        <v>0</v>
      </c>
      <c r="K41" s="3">
        <f>I41*J41</f>
        <v>0</v>
      </c>
      <c r="L41" s="3">
        <f>K11/K46*K41</f>
        <v>0</v>
      </c>
      <c r="M41" s="8" t="e">
        <f t="shared" si="0"/>
        <v>#DIV/0!</v>
      </c>
    </row>
    <row r="42" spans="1:13" x14ac:dyDescent="0.25">
      <c r="A42" s="99"/>
      <c r="I42" s="30">
        <f>IF('DATI INPUT'!$I$48="X",'DATI INPUT'!G76,'DATI INPUT'!E76)</f>
        <v>0</v>
      </c>
      <c r="J42" s="181">
        <f>'DATI INPUT'!F133</f>
        <v>0</v>
      </c>
      <c r="K42" s="3">
        <f>I42*J42</f>
        <v>0</v>
      </c>
      <c r="L42" s="3">
        <f>K11/K46*K42</f>
        <v>0</v>
      </c>
      <c r="M42" s="8" t="e">
        <f>L42/I42</f>
        <v>#DIV/0!</v>
      </c>
    </row>
    <row r="43" spans="1:13" x14ac:dyDescent="0.25">
      <c r="I43" s="30">
        <f>IF('DATI INPUT'!$I$48="X",'DATI INPUT'!G77,'DATI INPUT'!E77)</f>
        <v>0</v>
      </c>
      <c r="J43" s="181">
        <f>'DATI INPUT'!F134</f>
        <v>0</v>
      </c>
      <c r="K43" s="3">
        <f>I43*J43</f>
        <v>0</v>
      </c>
      <c r="L43" s="3">
        <f>K11/K46*K43</f>
        <v>0</v>
      </c>
      <c r="M43" s="8" t="e">
        <f t="shared" si="0"/>
        <v>#DIV/0!</v>
      </c>
    </row>
    <row r="44" spans="1:13" x14ac:dyDescent="0.25">
      <c r="I44" s="30">
        <f>IF('DATI INPUT'!$I$48="X",'DATI INPUT'!G78,'DATI INPUT'!E78)</f>
        <v>0</v>
      </c>
      <c r="J44" s="181">
        <f>'DATI INPUT'!F135</f>
        <v>0</v>
      </c>
      <c r="K44" s="3">
        <f>I44*J44</f>
        <v>0</v>
      </c>
      <c r="L44" s="3">
        <f>K11/K46*K44</f>
        <v>0</v>
      </c>
      <c r="M44" s="8" t="e">
        <f t="shared" si="0"/>
        <v>#DIV/0!</v>
      </c>
    </row>
    <row r="45" spans="1:13" x14ac:dyDescent="0.25">
      <c r="I45" s="184">
        <f>IF('DATI INPUT'!$I$48="X",'DATI INPUT'!G79,'DATI INPUT'!E79)</f>
        <v>0</v>
      </c>
      <c r="J45" s="182">
        <f>'DATI INPUT'!F136</f>
        <v>0</v>
      </c>
      <c r="K45" s="6">
        <f>I45*J45</f>
        <v>0</v>
      </c>
      <c r="L45" s="6">
        <f>K11/K46*K45</f>
        <v>0</v>
      </c>
      <c r="M45" s="185" t="e">
        <f t="shared" si="0"/>
        <v>#DIV/0!</v>
      </c>
    </row>
    <row r="46" spans="1:13" x14ac:dyDescent="0.25">
      <c r="I46" s="3">
        <f>SUM(I14:I45)</f>
        <v>12184.22200000006</v>
      </c>
      <c r="J46" s="3"/>
      <c r="K46" s="3">
        <f>SUM(K14:K45)</f>
        <v>14812.613420000114</v>
      </c>
      <c r="L46" s="3">
        <f>SUM(L14:L45)</f>
        <v>19903.19999999999</v>
      </c>
    </row>
    <row r="47" spans="1:13" ht="7.5" customHeight="1" x14ac:dyDescent="0.25"/>
    <row r="48" spans="1:13" x14ac:dyDescent="0.25">
      <c r="A48" s="471" t="s">
        <v>133</v>
      </c>
      <c r="B48" s="472"/>
      <c r="C48" s="472"/>
      <c r="D48" s="472"/>
      <c r="E48" s="472"/>
      <c r="F48" s="472"/>
      <c r="G48" s="472"/>
      <c r="H48" s="472"/>
      <c r="I48" s="472"/>
      <c r="J48" s="472"/>
      <c r="K48" s="472"/>
      <c r="L48" s="472"/>
      <c r="M48" s="473"/>
    </row>
    <row r="49" spans="1:15" ht="7.5" customHeight="1" x14ac:dyDescent="0.25"/>
    <row r="50" spans="1:15" x14ac:dyDescent="0.25">
      <c r="A50" t="s">
        <v>80</v>
      </c>
      <c r="I50" s="4">
        <f>'DATI INPUT'!G20</f>
        <v>0.53410766702714851</v>
      </c>
    </row>
    <row r="51" spans="1:15" ht="7.5" customHeight="1" x14ac:dyDescent="0.25"/>
    <row r="52" spans="1:15" x14ac:dyDescent="0.25">
      <c r="A52" t="s">
        <v>97</v>
      </c>
      <c r="K52" s="3">
        <f>(K5*I50)+M5</f>
        <v>22817.399999999998</v>
      </c>
      <c r="M52" s="3"/>
    </row>
    <row r="53" spans="1:15" ht="7.5" customHeight="1" x14ac:dyDescent="0.25">
      <c r="I53" s="3"/>
    </row>
    <row r="54" spans="1:15" ht="75" x14ac:dyDescent="0.25">
      <c r="I54" s="46" t="s">
        <v>139</v>
      </c>
      <c r="J54" s="40" t="s">
        <v>168</v>
      </c>
      <c r="K54" s="46" t="s">
        <v>138</v>
      </c>
      <c r="L54" s="46" t="s">
        <v>150</v>
      </c>
      <c r="M54" s="46" t="s">
        <v>151</v>
      </c>
    </row>
    <row r="55" spans="1:15" x14ac:dyDescent="0.25">
      <c r="A55">
        <v>1</v>
      </c>
      <c r="B55" t="s">
        <v>99</v>
      </c>
      <c r="I55" s="30">
        <f>'DATI INPUT'!G48</f>
        <v>74.45</v>
      </c>
      <c r="J55" s="179">
        <f>'DATI INPUT'!J105</f>
        <v>4.2</v>
      </c>
      <c r="K55" s="3">
        <f>I55*J55</f>
        <v>312.69</v>
      </c>
      <c r="L55" s="3">
        <f>K52/K87*K55</f>
        <v>58.714100730552268</v>
      </c>
      <c r="M55" s="8">
        <f>L55/I55</f>
        <v>0.7886380219013065</v>
      </c>
      <c r="O55" s="3"/>
    </row>
    <row r="56" spans="1:15" x14ac:dyDescent="0.25">
      <c r="A56">
        <v>2</v>
      </c>
      <c r="B56" t="s">
        <v>100</v>
      </c>
      <c r="I56" s="30">
        <f>'DATI INPUT'!G49</f>
        <v>9.9999999999999994E-12</v>
      </c>
      <c r="J56" s="181">
        <f>'DATI INPUT'!J106</f>
        <v>6.55</v>
      </c>
      <c r="K56" s="3">
        <f t="shared" ref="K56:K82" si="2">I56*J56</f>
        <v>6.5499999999999994E-11</v>
      </c>
      <c r="L56" s="3">
        <f>K52/K87*K56</f>
        <v>1.2298997722508468E-11</v>
      </c>
      <c r="M56" s="8">
        <f t="shared" ref="M56:M86" si="3">L56/I56</f>
        <v>1.2298997722508469</v>
      </c>
      <c r="O56" s="3"/>
    </row>
    <row r="57" spans="1:15" x14ac:dyDescent="0.25">
      <c r="A57">
        <v>3</v>
      </c>
      <c r="B57" t="s">
        <v>101</v>
      </c>
      <c r="I57" s="30">
        <f>'DATI INPUT'!G50</f>
        <v>9.9999999999999994E-12</v>
      </c>
      <c r="J57" s="181">
        <f>'DATI INPUT'!J107</f>
        <v>5.2</v>
      </c>
      <c r="K57" s="3">
        <f t="shared" si="2"/>
        <v>5.2000000000000001E-11</v>
      </c>
      <c r="L57" s="3">
        <f>K52/K87*K57</f>
        <v>9.7640897949685569E-12</v>
      </c>
      <c r="M57" s="8">
        <f t="shared" si="3"/>
        <v>0.97640897949685579</v>
      </c>
      <c r="O57" s="3"/>
    </row>
    <row r="58" spans="1:15" x14ac:dyDescent="0.25">
      <c r="A58">
        <v>4</v>
      </c>
      <c r="B58" t="s">
        <v>102</v>
      </c>
      <c r="I58" s="30">
        <f>'DATI INPUT'!G51</f>
        <v>91</v>
      </c>
      <c r="J58" s="180">
        <f>'DATI INPUT'!J108</f>
        <v>3.55</v>
      </c>
      <c r="K58" s="3">
        <f t="shared" si="2"/>
        <v>323.05</v>
      </c>
      <c r="L58" s="3">
        <f>K52/K87*K58</f>
        <v>60.659407851242158</v>
      </c>
      <c r="M58" s="8">
        <f t="shared" si="3"/>
        <v>0.66658689946419958</v>
      </c>
      <c r="O58" s="3"/>
    </row>
    <row r="59" spans="1:15" x14ac:dyDescent="0.25">
      <c r="A59">
        <v>5</v>
      </c>
      <c r="B59" t="s">
        <v>103</v>
      </c>
      <c r="I59" s="30">
        <f>'DATI INPUT'!G52</f>
        <v>1E-3</v>
      </c>
      <c r="J59" s="181">
        <f>'DATI INPUT'!J109</f>
        <v>10.93</v>
      </c>
      <c r="K59" s="3">
        <f t="shared" si="2"/>
        <v>1.093E-2</v>
      </c>
      <c r="L59" s="3">
        <f>K52/K87*K59</f>
        <v>2.0523365665193524E-3</v>
      </c>
      <c r="M59" s="8">
        <f t="shared" si="3"/>
        <v>2.0523365665193523</v>
      </c>
      <c r="O59" s="3"/>
    </row>
    <row r="60" spans="1:15" x14ac:dyDescent="0.25">
      <c r="A60">
        <v>6</v>
      </c>
      <c r="B60" t="s">
        <v>104</v>
      </c>
      <c r="I60" s="30">
        <f>'DATI INPUT'!G53</f>
        <v>58.81</v>
      </c>
      <c r="J60" s="181">
        <f>'DATI INPUT'!J110</f>
        <v>7.49</v>
      </c>
      <c r="K60" s="3">
        <f t="shared" si="2"/>
        <v>440.48690000000005</v>
      </c>
      <c r="L60" s="3">
        <f>K52/K87*K60</f>
        <v>82.710647021294903</v>
      </c>
      <c r="M60" s="8">
        <f t="shared" si="3"/>
        <v>1.4064044723906632</v>
      </c>
      <c r="O60" s="3"/>
    </row>
    <row r="61" spans="1:15" x14ac:dyDescent="0.25">
      <c r="A61">
        <v>7</v>
      </c>
      <c r="B61" t="s">
        <v>105</v>
      </c>
      <c r="I61" s="30">
        <f>'DATI INPUT'!G54</f>
        <v>9.9999999999999994E-12</v>
      </c>
      <c r="J61" s="181">
        <f>'DATI INPUT'!J111</f>
        <v>8.19</v>
      </c>
      <c r="K61" s="3">
        <f t="shared" si="2"/>
        <v>8.1899999999999996E-11</v>
      </c>
      <c r="L61" s="3">
        <f>K52/K87*K61</f>
        <v>1.5378441427075474E-11</v>
      </c>
      <c r="M61" s="8">
        <f t="shared" si="3"/>
        <v>1.5378441427075475</v>
      </c>
      <c r="O61" s="3"/>
    </row>
    <row r="62" spans="1:15" x14ac:dyDescent="0.25">
      <c r="A62">
        <v>8</v>
      </c>
      <c r="B62" t="s">
        <v>106</v>
      </c>
      <c r="I62" s="30">
        <f>'DATI INPUT'!G55</f>
        <v>1364.86</v>
      </c>
      <c r="J62" s="181">
        <f>'DATI INPUT'!J112</f>
        <v>9.3000000000000007</v>
      </c>
      <c r="K62" s="3">
        <f t="shared" si="2"/>
        <v>12693.198</v>
      </c>
      <c r="L62" s="3">
        <f>K52/K87*K62</f>
        <v>2383.4139434099093</v>
      </c>
      <c r="M62" s="8">
        <f t="shared" si="3"/>
        <v>1.7462699056386073</v>
      </c>
      <c r="O62" s="3"/>
    </row>
    <row r="63" spans="1:15" x14ac:dyDescent="0.25">
      <c r="A63">
        <v>9</v>
      </c>
      <c r="B63" t="s">
        <v>107</v>
      </c>
      <c r="I63" s="30">
        <f>'DATI INPUT'!G56</f>
        <v>232.74</v>
      </c>
      <c r="J63" s="181">
        <f>'DATI INPUT'!J113</f>
        <v>4.78</v>
      </c>
      <c r="K63" s="3">
        <f t="shared" si="2"/>
        <v>1112.4972</v>
      </c>
      <c r="L63" s="3">
        <f>K52/K87*K63</f>
        <v>208.89466456636717</v>
      </c>
      <c r="M63" s="8">
        <f t="shared" si="3"/>
        <v>0.8975451773067249</v>
      </c>
      <c r="O63" s="3"/>
    </row>
    <row r="64" spans="1:15" x14ac:dyDescent="0.25">
      <c r="A64">
        <v>10</v>
      </c>
      <c r="B64" t="s">
        <v>230</v>
      </c>
      <c r="I64" s="30">
        <v>1E-3</v>
      </c>
      <c r="J64" s="181">
        <f>'DATI INPUT'!J114</f>
        <v>9.1199999999999992</v>
      </c>
      <c r="K64" s="3">
        <f t="shared" si="2"/>
        <v>9.1199999999999996E-3</v>
      </c>
      <c r="L64" s="3">
        <f>K52/K87*K64</f>
        <v>1.7124711332714081E-3</v>
      </c>
      <c r="M64" s="8">
        <f t="shared" si="3"/>
        <v>1.7124711332714082</v>
      </c>
      <c r="O64" s="3"/>
    </row>
    <row r="65" spans="1:15" x14ac:dyDescent="0.25">
      <c r="A65">
        <v>11</v>
      </c>
      <c r="B65" t="s">
        <v>108</v>
      </c>
      <c r="I65" s="30">
        <f>'DATI INPUT'!G58</f>
        <v>90</v>
      </c>
      <c r="J65" s="181">
        <f>'DATI INPUT'!J115</f>
        <v>12.45</v>
      </c>
      <c r="K65" s="3">
        <f t="shared" si="2"/>
        <v>1120.5</v>
      </c>
      <c r="L65" s="3">
        <f>K52/K87*K65</f>
        <v>210.39735798581282</v>
      </c>
      <c r="M65" s="8">
        <f t="shared" si="3"/>
        <v>2.3377484220645868</v>
      </c>
      <c r="O65" s="3"/>
    </row>
    <row r="66" spans="1:15" x14ac:dyDescent="0.25">
      <c r="A66">
        <v>12</v>
      </c>
      <c r="B66" t="s">
        <v>0</v>
      </c>
      <c r="I66" s="30">
        <f>'DATI INPUT'!G59</f>
        <v>54.6</v>
      </c>
      <c r="J66" s="181">
        <f>'DATI INPUT'!J116</f>
        <v>8.5</v>
      </c>
      <c r="K66" s="3">
        <f t="shared" si="2"/>
        <v>464.1</v>
      </c>
      <c r="L66" s="3">
        <f>K52/K87*K66</f>
        <v>87.144501420094372</v>
      </c>
      <c r="M66" s="8">
        <f t="shared" si="3"/>
        <v>1.596053139562168</v>
      </c>
      <c r="O66" s="3"/>
    </row>
    <row r="67" spans="1:15" x14ac:dyDescent="0.25">
      <c r="A67">
        <v>13</v>
      </c>
      <c r="B67" t="s">
        <v>109</v>
      </c>
      <c r="I67" s="30">
        <f>'DATI INPUT'!G60</f>
        <v>9.9999999999999994E-12</v>
      </c>
      <c r="J67" s="181">
        <f>'DATI INPUT'!J117</f>
        <v>9.48</v>
      </c>
      <c r="K67" s="3">
        <f t="shared" si="2"/>
        <v>9.4799999999999998E-11</v>
      </c>
      <c r="L67" s="3">
        <f>K52/K87*K67</f>
        <v>1.780068678005806E-11</v>
      </c>
      <c r="M67" s="8">
        <f t="shared" si="3"/>
        <v>1.7800686780058061</v>
      </c>
      <c r="O67" s="3"/>
    </row>
    <row r="68" spans="1:15" x14ac:dyDescent="0.25">
      <c r="A68">
        <v>14</v>
      </c>
      <c r="B68" t="s">
        <v>110</v>
      </c>
      <c r="I68" s="30">
        <f>'DATI INPUT'!G61</f>
        <v>3285.45</v>
      </c>
      <c r="J68" s="181">
        <f>'DATI INPUT'!J118</f>
        <v>7.5</v>
      </c>
      <c r="K68" s="3">
        <f t="shared" si="2"/>
        <v>24640.875</v>
      </c>
      <c r="L68" s="3">
        <f>K52/K87*K68</f>
        <v>4626.8406947422272</v>
      </c>
      <c r="M68" s="8">
        <f t="shared" si="3"/>
        <v>1.4082821819666187</v>
      </c>
      <c r="O68" s="3"/>
    </row>
    <row r="69" spans="1:15" x14ac:dyDescent="0.25">
      <c r="A69">
        <v>15</v>
      </c>
      <c r="B69" t="s">
        <v>111</v>
      </c>
      <c r="I69" s="30">
        <f>'DATI INPUT'!G62</f>
        <v>5943.02</v>
      </c>
      <c r="J69" s="181">
        <f>'DATI INPUT'!J119</f>
        <v>8.92</v>
      </c>
      <c r="K69" s="3">
        <f t="shared" si="2"/>
        <v>53011.738400000002</v>
      </c>
      <c r="L69" s="3">
        <f>K52/K87*K69</f>
        <v>9954.0648831727449</v>
      </c>
      <c r="M69" s="8">
        <f t="shared" si="3"/>
        <v>1.6749169417522984</v>
      </c>
      <c r="O69" s="3"/>
    </row>
    <row r="70" spans="1:15" x14ac:dyDescent="0.25">
      <c r="A70">
        <v>16</v>
      </c>
      <c r="B70" t="s">
        <v>112</v>
      </c>
      <c r="I70" s="30">
        <f>'DATI INPUT'!G63</f>
        <v>164.9</v>
      </c>
      <c r="J70" s="181">
        <f>'DATI INPUT'!J120</f>
        <v>39.67</v>
      </c>
      <c r="K70" s="3">
        <f t="shared" si="2"/>
        <v>6541.5830000000005</v>
      </c>
      <c r="L70" s="3">
        <f>K52/K87*K70</f>
        <v>1228.3193041007653</v>
      </c>
      <c r="M70" s="8">
        <f t="shared" si="3"/>
        <v>7.4488738878154352</v>
      </c>
      <c r="O70" s="3"/>
    </row>
    <row r="71" spans="1:15" x14ac:dyDescent="0.25">
      <c r="A71">
        <v>17</v>
      </c>
      <c r="B71" t="s">
        <v>113</v>
      </c>
      <c r="I71" s="30">
        <f>'DATI INPUT'!G64</f>
        <v>514.45000000000005</v>
      </c>
      <c r="J71" s="181">
        <f>'DATI INPUT'!J121</f>
        <v>29.82</v>
      </c>
      <c r="K71" s="3">
        <f t="shared" si="2"/>
        <v>15340.899000000001</v>
      </c>
      <c r="L71" s="3">
        <f>K52/K87*K71</f>
        <v>2880.5752956066026</v>
      </c>
      <c r="M71" s="8">
        <f t="shared" si="3"/>
        <v>5.5993299554992753</v>
      </c>
      <c r="O71" s="3"/>
    </row>
    <row r="72" spans="1:15" x14ac:dyDescent="0.25">
      <c r="A72">
        <v>18</v>
      </c>
      <c r="B72" t="s">
        <v>1</v>
      </c>
      <c r="I72" s="30">
        <f>'DATI INPUT'!G65</f>
        <v>70.5</v>
      </c>
      <c r="J72" s="181">
        <f>'DATI INPUT'!J122</f>
        <v>17.501999999999999</v>
      </c>
      <c r="K72" s="3">
        <f t="shared" si="2"/>
        <v>1233.8909999999998</v>
      </c>
      <c r="L72" s="3">
        <f>K52/K87*K72</f>
        <v>231.68889463852972</v>
      </c>
      <c r="M72" s="8">
        <f t="shared" si="3"/>
        <v>3.286367299837301</v>
      </c>
      <c r="O72" s="3"/>
    </row>
    <row r="73" spans="1:15" x14ac:dyDescent="0.25">
      <c r="A73">
        <v>19</v>
      </c>
      <c r="B73" t="s">
        <v>114</v>
      </c>
      <c r="I73" s="30">
        <f>'DATI INPUT'!G66</f>
        <v>239.44</v>
      </c>
      <c r="J73" s="181">
        <f>'DATI INPUT'!J123</f>
        <v>17.881999999999998</v>
      </c>
      <c r="K73" s="3">
        <f t="shared" si="2"/>
        <v>4281.6660799999991</v>
      </c>
      <c r="L73" s="3">
        <f>K52/K87*K73</f>
        <v>803.972539945981</v>
      </c>
      <c r="M73" s="8">
        <f t="shared" si="3"/>
        <v>3.3577202637236092</v>
      </c>
      <c r="O73" s="3"/>
    </row>
    <row r="74" spans="1:15" x14ac:dyDescent="0.25">
      <c r="A74">
        <v>20</v>
      </c>
      <c r="B74" t="s">
        <v>115</v>
      </c>
      <c r="I74" s="30">
        <f>'DATI INPUT'!G67</f>
        <v>9.9999999999999994E-12</v>
      </c>
      <c r="J74" s="181">
        <f>'DATI INPUT'!J124</f>
        <v>49.72</v>
      </c>
      <c r="K74" s="3">
        <f t="shared" si="2"/>
        <v>4.972E-10</v>
      </c>
      <c r="L74" s="3">
        <f>K52/K87*K74</f>
        <v>9.335972011650704E-11</v>
      </c>
      <c r="M74" s="8">
        <f t="shared" si="3"/>
        <v>9.3359720116507052</v>
      </c>
      <c r="O74" s="3"/>
    </row>
    <row r="75" spans="1:15" x14ac:dyDescent="0.25">
      <c r="A75">
        <v>21</v>
      </c>
      <c r="B75" t="s">
        <v>116</v>
      </c>
      <c r="I75" s="30">
        <f>'DATI INPUT'!G68</f>
        <v>9.9999999999999994E-12</v>
      </c>
      <c r="J75" s="181">
        <f>'DATI INPUT'!J125</f>
        <v>13.45</v>
      </c>
      <c r="K75" s="3">
        <f t="shared" si="2"/>
        <v>1.3449999999999997E-10</v>
      </c>
      <c r="L75" s="3">
        <f>K52/K87*K75</f>
        <v>2.5255193796601357E-11</v>
      </c>
      <c r="M75" s="8">
        <f t="shared" si="3"/>
        <v>2.5255193796601358</v>
      </c>
      <c r="O75" s="3"/>
    </row>
    <row r="76" spans="1:15" x14ac:dyDescent="0.25">
      <c r="I76" s="30">
        <f>'DATI INPUT'!G69</f>
        <v>0</v>
      </c>
      <c r="J76" s="181">
        <f>'DATI INPUT'!J126</f>
        <v>0</v>
      </c>
      <c r="K76" s="3">
        <f t="shared" si="2"/>
        <v>0</v>
      </c>
      <c r="L76" s="3">
        <f>K52/K87*K76</f>
        <v>0</v>
      </c>
      <c r="M76" s="8" t="e">
        <f t="shared" si="3"/>
        <v>#DIV/0!</v>
      </c>
      <c r="O76" s="3"/>
    </row>
    <row r="77" spans="1:15" x14ac:dyDescent="0.25">
      <c r="A77" s="99"/>
      <c r="B77" s="191"/>
      <c r="I77" s="30">
        <f>'DATI INPUT'!G70</f>
        <v>0</v>
      </c>
      <c r="J77" s="181">
        <f>'DATI INPUT'!J127</f>
        <v>0</v>
      </c>
      <c r="K77" s="3">
        <f t="shared" si="2"/>
        <v>0</v>
      </c>
      <c r="L77" s="3">
        <f>K52/K87*K77</f>
        <v>0</v>
      </c>
      <c r="M77" s="8" t="e">
        <f t="shared" si="3"/>
        <v>#DIV/0!</v>
      </c>
      <c r="O77" s="3"/>
    </row>
    <row r="78" spans="1:15" x14ac:dyDescent="0.25">
      <c r="I78" s="30">
        <f>'DATI INPUT'!G71</f>
        <v>0</v>
      </c>
      <c r="J78" s="181">
        <f>'DATI INPUT'!J128</f>
        <v>0</v>
      </c>
      <c r="K78" s="3">
        <f t="shared" si="2"/>
        <v>0</v>
      </c>
      <c r="L78" s="3">
        <f>K52/K87*K78</f>
        <v>0</v>
      </c>
      <c r="M78" s="8" t="e">
        <f t="shared" si="3"/>
        <v>#DIV/0!</v>
      </c>
      <c r="O78" s="3"/>
    </row>
    <row r="79" spans="1:15" x14ac:dyDescent="0.25">
      <c r="I79" s="30">
        <f>'DATI INPUT'!G72</f>
        <v>0</v>
      </c>
      <c r="J79" s="181">
        <f>'DATI INPUT'!J129</f>
        <v>0</v>
      </c>
      <c r="K79" s="3">
        <f t="shared" si="2"/>
        <v>0</v>
      </c>
      <c r="L79" s="3">
        <f>K52/K87*K79</f>
        <v>0</v>
      </c>
      <c r="M79" s="8" t="e">
        <f t="shared" si="3"/>
        <v>#DIV/0!</v>
      </c>
      <c r="O79" s="3"/>
    </row>
    <row r="80" spans="1:15" x14ac:dyDescent="0.25">
      <c r="I80" s="30">
        <f>'DATI INPUT'!G73</f>
        <v>0</v>
      </c>
      <c r="J80" s="181">
        <f>'DATI INPUT'!J130</f>
        <v>0</v>
      </c>
      <c r="K80" s="3">
        <f t="shared" si="2"/>
        <v>0</v>
      </c>
      <c r="L80" s="3">
        <f>K52/K87*K80</f>
        <v>0</v>
      </c>
      <c r="M80" s="8" t="e">
        <f t="shared" si="3"/>
        <v>#DIV/0!</v>
      </c>
      <c r="O80" s="3"/>
    </row>
    <row r="81" spans="1:15" x14ac:dyDescent="0.25">
      <c r="I81" s="30">
        <f>'DATI INPUT'!G74</f>
        <v>0</v>
      </c>
      <c r="J81" s="181">
        <f>'DATI INPUT'!J131</f>
        <v>0</v>
      </c>
      <c r="K81" s="3">
        <f t="shared" si="2"/>
        <v>0</v>
      </c>
      <c r="L81" s="3">
        <f>K52/K87*K81</f>
        <v>0</v>
      </c>
      <c r="M81" s="8" t="e">
        <f t="shared" si="3"/>
        <v>#DIV/0!</v>
      </c>
      <c r="O81" s="3"/>
    </row>
    <row r="82" spans="1:15" x14ac:dyDescent="0.25">
      <c r="I82" s="30">
        <f>'DATI INPUT'!G75</f>
        <v>0</v>
      </c>
      <c r="J82" s="181">
        <f>'DATI INPUT'!J132</f>
        <v>0</v>
      </c>
      <c r="K82" s="3">
        <f t="shared" si="2"/>
        <v>0</v>
      </c>
      <c r="L82" s="3">
        <f>K52/K87*K82</f>
        <v>0</v>
      </c>
      <c r="M82" s="8" t="e">
        <f t="shared" si="3"/>
        <v>#DIV/0!</v>
      </c>
      <c r="O82" s="3"/>
    </row>
    <row r="83" spans="1:15" x14ac:dyDescent="0.25">
      <c r="A83" s="99"/>
      <c r="I83" s="30">
        <f>'DATI INPUT'!G76</f>
        <v>0</v>
      </c>
      <c r="J83" s="181">
        <f>'DATI INPUT'!J133</f>
        <v>0</v>
      </c>
      <c r="K83" s="3">
        <f>I83*J83</f>
        <v>0</v>
      </c>
      <c r="L83" s="3">
        <f>K52/K87*K83</f>
        <v>0</v>
      </c>
      <c r="M83" s="8" t="e">
        <f>L83/I83</f>
        <v>#DIV/0!</v>
      </c>
      <c r="O83" s="3"/>
    </row>
    <row r="84" spans="1:15" x14ac:dyDescent="0.25">
      <c r="I84" s="30">
        <f>'DATI INPUT'!G77</f>
        <v>0</v>
      </c>
      <c r="J84" s="181">
        <f>'DATI INPUT'!J134</f>
        <v>0</v>
      </c>
      <c r="K84" s="3">
        <f>I84*J84</f>
        <v>0</v>
      </c>
      <c r="L84" s="3">
        <f>K52/K87*K84</f>
        <v>0</v>
      </c>
      <c r="M84" s="8" t="e">
        <f t="shared" si="3"/>
        <v>#DIV/0!</v>
      </c>
      <c r="O84" s="3"/>
    </row>
    <row r="85" spans="1:15" x14ac:dyDescent="0.25">
      <c r="I85" s="30">
        <f>'DATI INPUT'!G78</f>
        <v>0</v>
      </c>
      <c r="J85" s="181">
        <f>'DATI INPUT'!J135</f>
        <v>0</v>
      </c>
      <c r="K85" s="3">
        <f>I85*J85</f>
        <v>0</v>
      </c>
      <c r="L85" s="3">
        <f>K52/K87*K85</f>
        <v>0</v>
      </c>
      <c r="M85" s="8" t="e">
        <f t="shared" si="3"/>
        <v>#DIV/0!</v>
      </c>
      <c r="O85" s="3"/>
    </row>
    <row r="86" spans="1:15" x14ac:dyDescent="0.25">
      <c r="I86" s="184">
        <f>'DATI INPUT'!G79</f>
        <v>0</v>
      </c>
      <c r="J86" s="182">
        <f>'DATI INPUT'!J136</f>
        <v>0</v>
      </c>
      <c r="K86" s="6">
        <f>I86*J86</f>
        <v>0</v>
      </c>
      <c r="L86" s="6">
        <f>K52/K87*K86</f>
        <v>0</v>
      </c>
      <c r="M86" s="185" t="e">
        <f t="shared" si="3"/>
        <v>#DIV/0!</v>
      </c>
      <c r="O86" s="3"/>
    </row>
    <row r="87" spans="1:15" x14ac:dyDescent="0.25">
      <c r="I87" s="3">
        <f>SUM(I55:I86)</f>
        <v>12184.22200000006</v>
      </c>
      <c r="J87" s="3"/>
      <c r="K87" s="3">
        <f>SUM(K55:K86)</f>
        <v>121517.19463000093</v>
      </c>
      <c r="L87" s="3">
        <f>SUM(L55:L86)</f>
        <v>22817.4</v>
      </c>
      <c r="M87" s="3"/>
      <c r="O87" s="3"/>
    </row>
    <row r="88" spans="1:15" ht="7.5" customHeight="1" x14ac:dyDescent="0.25"/>
    <row r="89" spans="1:15" x14ac:dyDescent="0.25">
      <c r="A89" s="471" t="s">
        <v>154</v>
      </c>
      <c r="B89" s="472"/>
      <c r="C89" s="472"/>
      <c r="D89" s="472"/>
      <c r="E89" s="472"/>
      <c r="F89" s="472"/>
      <c r="G89" s="472"/>
      <c r="H89" s="472"/>
      <c r="I89" s="472"/>
      <c r="J89" s="472"/>
      <c r="K89" s="472"/>
      <c r="L89" s="472"/>
      <c r="M89" s="472"/>
      <c r="N89" s="472"/>
      <c r="O89" s="473"/>
    </row>
    <row r="90" spans="1:15" ht="7.5" customHeight="1" x14ac:dyDescent="0.25"/>
    <row r="91" spans="1:15" x14ac:dyDescent="0.25">
      <c r="G91" s="468" t="s">
        <v>266</v>
      </c>
      <c r="H91" s="469"/>
      <c r="I91" s="470"/>
      <c r="K91" s="468" t="s">
        <v>264</v>
      </c>
      <c r="L91" s="469"/>
      <c r="M91" s="470"/>
    </row>
    <row r="92" spans="1:15" ht="45" x14ac:dyDescent="0.25">
      <c r="G92" s="325" t="s">
        <v>146</v>
      </c>
      <c r="H92" s="325" t="s">
        <v>151</v>
      </c>
      <c r="I92" s="326" t="s">
        <v>155</v>
      </c>
      <c r="J92" s="324"/>
      <c r="K92" s="325" t="s">
        <v>146</v>
      </c>
      <c r="L92" s="325" t="s">
        <v>151</v>
      </c>
      <c r="M92" s="326" t="s">
        <v>155</v>
      </c>
      <c r="O92" s="327" t="s">
        <v>269</v>
      </c>
    </row>
    <row r="93" spans="1:15" x14ac:dyDescent="0.25">
      <c r="A93">
        <v>1</v>
      </c>
      <c r="B93" s="319" t="s">
        <v>99</v>
      </c>
      <c r="C93" s="319"/>
      <c r="D93" s="319"/>
      <c r="E93" s="319"/>
      <c r="F93" s="319"/>
      <c r="G93" s="321">
        <f t="shared" ref="G93:G124" si="4">M14</f>
        <v>0.68526948703694168</v>
      </c>
      <c r="H93" s="321">
        <f t="shared" ref="H93:H124" si="5">M55</f>
        <v>0.7886380219013065</v>
      </c>
      <c r="I93" s="328">
        <f>G93+H93</f>
        <v>1.4739075089382481</v>
      </c>
      <c r="J93" s="321"/>
      <c r="K93" s="297">
        <f>RiepilogoTariffe!H19</f>
        <v>0.7</v>
      </c>
      <c r="L93" s="297">
        <f>RiepilogoTariffe!I19</f>
        <v>0.78</v>
      </c>
      <c r="M93" s="287">
        <f>K93+L93</f>
        <v>1.48</v>
      </c>
      <c r="N93" s="319"/>
      <c r="O93" s="322">
        <f>I93-M93</f>
        <v>-6.0924910617519146E-3</v>
      </c>
    </row>
    <row r="94" spans="1:15" x14ac:dyDescent="0.25">
      <c r="A94">
        <v>2</v>
      </c>
      <c r="B94" s="211" t="s">
        <v>100</v>
      </c>
      <c r="C94" s="211"/>
      <c r="D94" s="211"/>
      <c r="E94" s="211"/>
      <c r="F94" s="211"/>
      <c r="G94" s="298">
        <f t="shared" si="4"/>
        <v>1.0749325286853988</v>
      </c>
      <c r="H94" s="298">
        <f t="shared" si="5"/>
        <v>1.2298997722508469</v>
      </c>
      <c r="I94" s="291">
        <f t="shared" ref="I94:I124" si="6">G94+H94</f>
        <v>2.3048323009362459</v>
      </c>
      <c r="J94" s="298"/>
      <c r="K94" s="298">
        <f>RiepilogoTariffe!H20</f>
        <v>1.1000000000000001</v>
      </c>
      <c r="L94" s="298">
        <f>RiepilogoTariffe!I20</f>
        <v>1.22</v>
      </c>
      <c r="M94" s="291">
        <f t="shared" ref="M94:M124" si="7">K94+L94</f>
        <v>2.3200000000000003</v>
      </c>
      <c r="N94" s="211"/>
      <c r="O94" s="323">
        <f t="shared" ref="O94:O124" si="8">I94-M94</f>
        <v>-1.516769906375437E-2</v>
      </c>
    </row>
    <row r="95" spans="1:15" x14ac:dyDescent="0.25">
      <c r="A95">
        <v>3</v>
      </c>
      <c r="B95" s="211" t="s">
        <v>101</v>
      </c>
      <c r="C95" s="211"/>
      <c r="D95" s="211"/>
      <c r="E95" s="211"/>
      <c r="F95" s="211"/>
      <c r="G95" s="298">
        <f t="shared" si="4"/>
        <v>0.84650936633975149</v>
      </c>
      <c r="H95" s="298">
        <f t="shared" si="5"/>
        <v>0.97640897949685579</v>
      </c>
      <c r="I95" s="291">
        <f t="shared" si="6"/>
        <v>1.8229183458366074</v>
      </c>
      <c r="J95" s="298"/>
      <c r="K95" s="298">
        <f>RiepilogoTariffe!H21</f>
        <v>0.87</v>
      </c>
      <c r="L95" s="298">
        <f>RiepilogoTariffe!I21</f>
        <v>0.97</v>
      </c>
      <c r="M95" s="291">
        <f t="shared" si="7"/>
        <v>1.8399999999999999</v>
      </c>
      <c r="N95" s="211"/>
      <c r="O95" s="323">
        <f t="shared" si="8"/>
        <v>-1.7081654163392468E-2</v>
      </c>
    </row>
    <row r="96" spans="1:15" x14ac:dyDescent="0.25">
      <c r="A96">
        <v>4</v>
      </c>
      <c r="B96" s="211" t="s">
        <v>102</v>
      </c>
      <c r="C96" s="211"/>
      <c r="D96" s="211"/>
      <c r="E96" s="211"/>
      <c r="F96" s="211"/>
      <c r="G96" s="298">
        <f t="shared" si="4"/>
        <v>0.57777623416840185</v>
      </c>
      <c r="H96" s="298">
        <f t="shared" si="5"/>
        <v>0.66658689946419958</v>
      </c>
      <c r="I96" s="291">
        <f t="shared" si="6"/>
        <v>1.2443631336326013</v>
      </c>
      <c r="J96" s="298"/>
      <c r="K96" s="298">
        <f>RiepilogoTariffe!H22</f>
        <v>0.59</v>
      </c>
      <c r="L96" s="298">
        <f>RiepilogoTariffe!I22</f>
        <v>0.66</v>
      </c>
      <c r="M96" s="291">
        <f t="shared" si="7"/>
        <v>1.25</v>
      </c>
      <c r="N96" s="211"/>
      <c r="O96" s="323">
        <f t="shared" si="8"/>
        <v>-5.6368663673986852E-3</v>
      </c>
    </row>
    <row r="97" spans="1:15" x14ac:dyDescent="0.25">
      <c r="A97">
        <v>5</v>
      </c>
      <c r="B97" s="211" t="s">
        <v>103</v>
      </c>
      <c r="C97" s="211"/>
      <c r="D97" s="211"/>
      <c r="E97" s="211"/>
      <c r="F97" s="211"/>
      <c r="G97" s="298">
        <f t="shared" si="4"/>
        <v>1.7870753289394752</v>
      </c>
      <c r="H97" s="298">
        <f t="shared" si="5"/>
        <v>2.0523365665193523</v>
      </c>
      <c r="I97" s="291">
        <f t="shared" si="6"/>
        <v>3.8394118954588272</v>
      </c>
      <c r="J97" s="298"/>
      <c r="K97" s="298">
        <f>RiepilogoTariffe!H23</f>
        <v>1.83</v>
      </c>
      <c r="L97" s="298">
        <f>RiepilogoTariffe!I23</f>
        <v>2.0299999999999998</v>
      </c>
      <c r="M97" s="291">
        <f t="shared" si="7"/>
        <v>3.86</v>
      </c>
      <c r="N97" s="211"/>
      <c r="O97" s="323">
        <f t="shared" si="8"/>
        <v>-2.0588104541172658E-2</v>
      </c>
    </row>
    <row r="98" spans="1:15" x14ac:dyDescent="0.25">
      <c r="A98">
        <v>6</v>
      </c>
      <c r="B98" s="211" t="s">
        <v>104</v>
      </c>
      <c r="C98" s="211"/>
      <c r="D98" s="211"/>
      <c r="E98" s="211"/>
      <c r="F98" s="211"/>
      <c r="G98" s="298">
        <f t="shared" si="4"/>
        <v>1.2227357513796411</v>
      </c>
      <c r="H98" s="298">
        <f t="shared" si="5"/>
        <v>1.4064044723906632</v>
      </c>
      <c r="I98" s="291">
        <f t="shared" si="6"/>
        <v>2.6291402237703041</v>
      </c>
      <c r="J98" s="298"/>
      <c r="K98" s="298">
        <f>RiepilogoTariffe!H24</f>
        <v>1.25</v>
      </c>
      <c r="L98" s="298">
        <f>RiepilogoTariffe!I24</f>
        <v>1.39</v>
      </c>
      <c r="M98" s="291">
        <f t="shared" si="7"/>
        <v>2.6399999999999997</v>
      </c>
      <c r="N98" s="211"/>
      <c r="O98" s="323">
        <f t="shared" si="8"/>
        <v>-1.0859776229695584E-2</v>
      </c>
    </row>
    <row r="99" spans="1:15" x14ac:dyDescent="0.25">
      <c r="A99">
        <v>7</v>
      </c>
      <c r="B99" s="211" t="s">
        <v>105</v>
      </c>
      <c r="C99" s="211"/>
      <c r="D99" s="211"/>
      <c r="E99" s="211"/>
      <c r="F99" s="211"/>
      <c r="G99" s="298">
        <f t="shared" si="4"/>
        <v>1.3436656608567483</v>
      </c>
      <c r="H99" s="298">
        <f t="shared" si="5"/>
        <v>1.5378441427075475</v>
      </c>
      <c r="I99" s="291">
        <f t="shared" si="6"/>
        <v>2.8815098035642959</v>
      </c>
      <c r="J99" s="298"/>
      <c r="K99" s="298">
        <f>RiepilogoTariffe!H25</f>
        <v>1.37</v>
      </c>
      <c r="L99" s="298">
        <f>RiepilogoTariffe!I25</f>
        <v>1.52</v>
      </c>
      <c r="M99" s="291">
        <f t="shared" si="7"/>
        <v>2.89</v>
      </c>
      <c r="N99" s="211"/>
      <c r="O99" s="323">
        <f t="shared" si="8"/>
        <v>-8.4901964357042559E-3</v>
      </c>
    </row>
    <row r="100" spans="1:15" x14ac:dyDescent="0.25">
      <c r="A100">
        <v>8</v>
      </c>
      <c r="B100" s="211" t="s">
        <v>253</v>
      </c>
      <c r="C100" s="211"/>
      <c r="D100" s="211"/>
      <c r="E100" s="211"/>
      <c r="F100" s="211"/>
      <c r="G100" s="298">
        <f t="shared" si="4"/>
        <v>1.5183421967681254</v>
      </c>
      <c r="H100" s="298">
        <f t="shared" si="5"/>
        <v>1.7462699056386073</v>
      </c>
      <c r="I100" s="291">
        <f t="shared" si="6"/>
        <v>3.2646121024067325</v>
      </c>
      <c r="J100" s="298"/>
      <c r="K100" s="298">
        <f>RiepilogoTariffe!H26</f>
        <v>1.55</v>
      </c>
      <c r="L100" s="298">
        <f>RiepilogoTariffe!I26</f>
        <v>1.73</v>
      </c>
      <c r="M100" s="291">
        <f t="shared" si="7"/>
        <v>3.2800000000000002</v>
      </c>
      <c r="N100" s="211"/>
      <c r="O100" s="323">
        <f t="shared" si="8"/>
        <v>-1.5387897593267752E-2</v>
      </c>
    </row>
    <row r="101" spans="1:15" x14ac:dyDescent="0.25">
      <c r="A101">
        <v>9</v>
      </c>
      <c r="B101" s="211" t="s">
        <v>254</v>
      </c>
      <c r="C101" s="211"/>
      <c r="D101" s="211"/>
      <c r="E101" s="211"/>
      <c r="F101" s="211"/>
      <c r="G101" s="298">
        <f t="shared" si="4"/>
        <v>0.77932608329691389</v>
      </c>
      <c r="H101" s="298">
        <f t="shared" si="5"/>
        <v>0.8975451773067249</v>
      </c>
      <c r="I101" s="291">
        <f t="shared" si="6"/>
        <v>1.6768712606036389</v>
      </c>
      <c r="J101" s="298"/>
      <c r="K101" s="298">
        <f>RiepilogoTariffe!H27</f>
        <v>0.8</v>
      </c>
      <c r="L101" s="298">
        <f>RiepilogoTariffe!I27</f>
        <v>0.89</v>
      </c>
      <c r="M101" s="291">
        <f t="shared" si="7"/>
        <v>1.69</v>
      </c>
      <c r="N101" s="211"/>
      <c r="O101" s="323">
        <f t="shared" si="8"/>
        <v>-1.3128739396361055E-2</v>
      </c>
    </row>
    <row r="102" spans="1:15" x14ac:dyDescent="0.25">
      <c r="A102">
        <v>10</v>
      </c>
      <c r="B102" s="211" t="s">
        <v>230</v>
      </c>
      <c r="C102" s="211"/>
      <c r="D102" s="211"/>
      <c r="E102" s="211"/>
      <c r="F102" s="211"/>
      <c r="G102" s="298">
        <f t="shared" si="4"/>
        <v>1.4914688835509908</v>
      </c>
      <c r="H102" s="298">
        <f t="shared" si="5"/>
        <v>1.7124711332714082</v>
      </c>
      <c r="I102" s="291">
        <f t="shared" si="6"/>
        <v>3.2039400168223988</v>
      </c>
      <c r="J102" s="298"/>
      <c r="K102" s="298">
        <f>RiepilogoTariffe!H28</f>
        <v>1.52</v>
      </c>
      <c r="L102" s="298">
        <f>RiepilogoTariffe!I28</f>
        <v>1.69</v>
      </c>
      <c r="M102" s="291">
        <f t="shared" si="7"/>
        <v>3.21</v>
      </c>
      <c r="N102" s="211"/>
      <c r="O102" s="323">
        <f t="shared" si="8"/>
        <v>-6.059983177601147E-3</v>
      </c>
    </row>
    <row r="103" spans="1:15" x14ac:dyDescent="0.25">
      <c r="A103">
        <v>11</v>
      </c>
      <c r="B103" s="211" t="s">
        <v>108</v>
      </c>
      <c r="C103" s="211"/>
      <c r="D103" s="211"/>
      <c r="E103" s="211"/>
      <c r="F103" s="211"/>
      <c r="G103" s="298">
        <f t="shared" si="4"/>
        <v>2.0423718045022574</v>
      </c>
      <c r="H103" s="298">
        <f t="shared" si="5"/>
        <v>2.3377484220645868</v>
      </c>
      <c r="I103" s="291">
        <f t="shared" si="6"/>
        <v>4.3801202265668442</v>
      </c>
      <c r="J103" s="298"/>
      <c r="K103" s="298">
        <f>RiepilogoTariffe!H29</f>
        <v>2.09</v>
      </c>
      <c r="L103" s="298">
        <f>RiepilogoTariffe!I29</f>
        <v>2.31</v>
      </c>
      <c r="M103" s="291">
        <f t="shared" si="7"/>
        <v>4.4000000000000004</v>
      </c>
      <c r="N103" s="211"/>
      <c r="O103" s="323">
        <f t="shared" si="8"/>
        <v>-1.9879773433156167E-2</v>
      </c>
    </row>
    <row r="104" spans="1:15" x14ac:dyDescent="0.25">
      <c r="A104">
        <v>12</v>
      </c>
      <c r="B104" s="211" t="s">
        <v>0</v>
      </c>
      <c r="C104" s="211"/>
      <c r="D104" s="211"/>
      <c r="E104" s="211"/>
      <c r="F104" s="211"/>
      <c r="G104" s="298">
        <f t="shared" si="4"/>
        <v>1.3974122872910184</v>
      </c>
      <c r="H104" s="298">
        <f t="shared" si="5"/>
        <v>1.596053139562168</v>
      </c>
      <c r="I104" s="291">
        <f t="shared" si="6"/>
        <v>2.9934654268531862</v>
      </c>
      <c r="J104" s="298"/>
      <c r="K104" s="298">
        <f>RiepilogoTariffe!H30</f>
        <v>1.43</v>
      </c>
      <c r="L104" s="298">
        <f>RiepilogoTariffe!I30</f>
        <v>1.58</v>
      </c>
      <c r="M104" s="291">
        <f t="shared" si="7"/>
        <v>3.01</v>
      </c>
      <c r="N104" s="211"/>
      <c r="O104" s="323">
        <f t="shared" si="8"/>
        <v>-1.6534573146813614E-2</v>
      </c>
    </row>
    <row r="105" spans="1:15" x14ac:dyDescent="0.25">
      <c r="A105">
        <v>13</v>
      </c>
      <c r="B105" s="211" t="s">
        <v>109</v>
      </c>
      <c r="C105" s="211"/>
      <c r="D105" s="211"/>
      <c r="E105" s="211"/>
      <c r="F105" s="211"/>
      <c r="G105" s="298">
        <f t="shared" si="4"/>
        <v>1.558652166593828</v>
      </c>
      <c r="H105" s="298">
        <f t="shared" si="5"/>
        <v>1.7800686780058061</v>
      </c>
      <c r="I105" s="291">
        <f t="shared" si="6"/>
        <v>3.3387208445996341</v>
      </c>
      <c r="J105" s="298"/>
      <c r="K105" s="298">
        <f>RiepilogoTariffe!H31</f>
        <v>1.59</v>
      </c>
      <c r="L105" s="298">
        <f>RiepilogoTariffe!I31</f>
        <v>1.76</v>
      </c>
      <c r="M105" s="291">
        <f t="shared" si="7"/>
        <v>3.35</v>
      </c>
      <c r="N105" s="211"/>
      <c r="O105" s="323">
        <f t="shared" si="8"/>
        <v>-1.1279155400365948E-2</v>
      </c>
    </row>
    <row r="106" spans="1:15" x14ac:dyDescent="0.25">
      <c r="A106">
        <v>14</v>
      </c>
      <c r="B106" s="211" t="s">
        <v>110</v>
      </c>
      <c r="C106" s="211"/>
      <c r="D106" s="211"/>
      <c r="E106" s="211"/>
      <c r="F106" s="211"/>
      <c r="G106" s="298">
        <f t="shared" si="4"/>
        <v>1.2227357513796411</v>
      </c>
      <c r="H106" s="298">
        <f t="shared" si="5"/>
        <v>1.4082821819666187</v>
      </c>
      <c r="I106" s="291">
        <f t="shared" si="6"/>
        <v>2.6310179333462598</v>
      </c>
      <c r="J106" s="298"/>
      <c r="K106" s="298">
        <f>RiepilogoTariffe!H32</f>
        <v>1.25</v>
      </c>
      <c r="L106" s="298">
        <f>RiepilogoTariffe!I32</f>
        <v>1.39</v>
      </c>
      <c r="M106" s="291">
        <f t="shared" si="7"/>
        <v>2.6399999999999997</v>
      </c>
      <c r="N106" s="211"/>
      <c r="O106" s="323">
        <f t="shared" si="8"/>
        <v>-8.9820666537399063E-3</v>
      </c>
    </row>
    <row r="107" spans="1:15" x14ac:dyDescent="0.25">
      <c r="A107">
        <v>15</v>
      </c>
      <c r="B107" s="211" t="s">
        <v>111</v>
      </c>
      <c r="C107" s="211"/>
      <c r="D107" s="211"/>
      <c r="E107" s="211"/>
      <c r="F107" s="211"/>
      <c r="G107" s="298">
        <f t="shared" si="4"/>
        <v>1.4645955703338558</v>
      </c>
      <c r="H107" s="298">
        <f t="shared" si="5"/>
        <v>1.6749169417522984</v>
      </c>
      <c r="I107" s="291">
        <f t="shared" si="6"/>
        <v>3.1395125120861542</v>
      </c>
      <c r="J107" s="298"/>
      <c r="K107" s="298">
        <f>RiepilogoTariffe!H33</f>
        <v>1.5</v>
      </c>
      <c r="L107" s="298">
        <f>RiepilogoTariffe!I33</f>
        <v>1.66</v>
      </c>
      <c r="M107" s="291">
        <f t="shared" si="7"/>
        <v>3.16</v>
      </c>
      <c r="N107" s="211"/>
      <c r="O107" s="323">
        <f t="shared" si="8"/>
        <v>-2.0487487913845914E-2</v>
      </c>
    </row>
    <row r="108" spans="1:15" x14ac:dyDescent="0.25">
      <c r="A108">
        <v>16</v>
      </c>
      <c r="B108" s="211" t="s">
        <v>112</v>
      </c>
      <c r="C108" s="211"/>
      <c r="D108" s="211"/>
      <c r="E108" s="211"/>
      <c r="F108" s="211"/>
      <c r="G108" s="298">
        <f t="shared" si="4"/>
        <v>6.5033417985466624</v>
      </c>
      <c r="H108" s="298">
        <f t="shared" si="5"/>
        <v>7.4488738878154352</v>
      </c>
      <c r="I108" s="291">
        <f t="shared" si="6"/>
        <v>13.952215686362099</v>
      </c>
      <c r="J108" s="298"/>
      <c r="K108" s="298">
        <f>RiepilogoTariffe!H34</f>
        <v>6.65</v>
      </c>
      <c r="L108" s="298">
        <f>RiepilogoTariffe!I34</f>
        <v>7.37</v>
      </c>
      <c r="M108" s="291">
        <f t="shared" si="7"/>
        <v>14.02</v>
      </c>
      <c r="N108" s="211"/>
      <c r="O108" s="323">
        <f t="shared" si="8"/>
        <v>-6.778431363790105E-2</v>
      </c>
    </row>
    <row r="109" spans="1:15" x14ac:dyDescent="0.25">
      <c r="A109">
        <v>17</v>
      </c>
      <c r="B109" s="211" t="s">
        <v>113</v>
      </c>
      <c r="C109" s="211"/>
      <c r="D109" s="211"/>
      <c r="E109" s="211"/>
      <c r="F109" s="211"/>
      <c r="G109" s="298">
        <f t="shared" si="4"/>
        <v>4.8909430055185634</v>
      </c>
      <c r="H109" s="298">
        <f t="shared" si="5"/>
        <v>5.5993299554992753</v>
      </c>
      <c r="I109" s="291">
        <f t="shared" si="6"/>
        <v>10.490272961017839</v>
      </c>
      <c r="J109" s="298"/>
      <c r="K109" s="298">
        <f>RiepilogoTariffe!H35</f>
        <v>5</v>
      </c>
      <c r="L109" s="298">
        <f>RiepilogoTariffe!I35</f>
        <v>5.54</v>
      </c>
      <c r="M109" s="291">
        <f t="shared" si="7"/>
        <v>10.54</v>
      </c>
      <c r="N109" s="211"/>
      <c r="O109" s="323">
        <f t="shared" si="8"/>
        <v>-4.9727038982160465E-2</v>
      </c>
    </row>
    <row r="110" spans="1:15" x14ac:dyDescent="0.25">
      <c r="A110">
        <v>18</v>
      </c>
      <c r="B110" s="211" t="s">
        <v>1</v>
      </c>
      <c r="C110" s="211"/>
      <c r="D110" s="211"/>
      <c r="E110" s="211"/>
      <c r="F110" s="211"/>
      <c r="G110" s="298">
        <f t="shared" si="4"/>
        <v>2.8646951889465875</v>
      </c>
      <c r="H110" s="298">
        <f t="shared" si="5"/>
        <v>3.286367299837301</v>
      </c>
      <c r="I110" s="291">
        <f t="shared" si="6"/>
        <v>6.1510624887838885</v>
      </c>
      <c r="J110" s="298"/>
      <c r="K110" s="298">
        <f>RiepilogoTariffe!H36</f>
        <v>2.93</v>
      </c>
      <c r="L110" s="298">
        <f>RiepilogoTariffe!I36</f>
        <v>3.25</v>
      </c>
      <c r="M110" s="291">
        <f t="shared" si="7"/>
        <v>6.18</v>
      </c>
      <c r="N110" s="211"/>
      <c r="O110" s="323">
        <f t="shared" si="8"/>
        <v>-2.8937511216111211E-2</v>
      </c>
    </row>
    <row r="111" spans="1:15" x14ac:dyDescent="0.25">
      <c r="A111">
        <v>19</v>
      </c>
      <c r="B111" s="211" t="s">
        <v>114</v>
      </c>
      <c r="C111" s="211"/>
      <c r="D111" s="211"/>
      <c r="E111" s="211"/>
      <c r="F111" s="211"/>
      <c r="G111" s="298">
        <f t="shared" si="4"/>
        <v>2.9318784719894246</v>
      </c>
      <c r="H111" s="298">
        <f t="shared" si="5"/>
        <v>3.3577202637236092</v>
      </c>
      <c r="I111" s="291">
        <f t="shared" si="6"/>
        <v>6.2895987357130334</v>
      </c>
      <c r="J111" s="298"/>
      <c r="K111" s="298">
        <f>RiepilogoTariffe!H37</f>
        <v>2.99</v>
      </c>
      <c r="L111" s="298">
        <f>RiepilogoTariffe!I37</f>
        <v>3.32</v>
      </c>
      <c r="M111" s="291">
        <f t="shared" si="7"/>
        <v>6.3100000000000005</v>
      </c>
      <c r="N111" s="211"/>
      <c r="O111" s="323">
        <f t="shared" si="8"/>
        <v>-2.0401264286967091E-2</v>
      </c>
    </row>
    <row r="112" spans="1:15" x14ac:dyDescent="0.25">
      <c r="A112">
        <v>20</v>
      </c>
      <c r="B112" s="211" t="s">
        <v>115</v>
      </c>
      <c r="C112" s="211"/>
      <c r="D112" s="211"/>
      <c r="E112" s="211"/>
      <c r="F112" s="211"/>
      <c r="G112" s="298">
        <f t="shared" si="4"/>
        <v>8.1426139047918937</v>
      </c>
      <c r="H112" s="298">
        <f t="shared" si="5"/>
        <v>9.3359720116507052</v>
      </c>
      <c r="I112" s="291">
        <f t="shared" si="6"/>
        <v>17.478585916442597</v>
      </c>
      <c r="J112" s="298"/>
      <c r="K112" s="298">
        <f>RiepilogoTariffe!H38</f>
        <v>8.32</v>
      </c>
      <c r="L112" s="298">
        <f>RiepilogoTariffe!I38</f>
        <v>9.24</v>
      </c>
      <c r="M112" s="291">
        <f t="shared" si="7"/>
        <v>17.560000000000002</v>
      </c>
      <c r="N112" s="211"/>
      <c r="O112" s="323">
        <f t="shared" si="8"/>
        <v>-8.1414083557405093E-2</v>
      </c>
    </row>
    <row r="113" spans="1:15" x14ac:dyDescent="0.25">
      <c r="A113">
        <v>21</v>
      </c>
      <c r="B113" s="211" t="s">
        <v>116</v>
      </c>
      <c r="C113" s="211"/>
      <c r="D113" s="211"/>
      <c r="E113" s="211"/>
      <c r="F113" s="211"/>
      <c r="G113" s="298">
        <f t="shared" si="4"/>
        <v>2.2036116838050672</v>
      </c>
      <c r="H113" s="298">
        <f t="shared" si="5"/>
        <v>2.5255193796601358</v>
      </c>
      <c r="I113" s="291">
        <f t="shared" si="6"/>
        <v>4.7291310634652035</v>
      </c>
      <c r="J113" s="298"/>
      <c r="K113" s="298">
        <f>RiepilogoTariffe!H39</f>
        <v>2.25</v>
      </c>
      <c r="L113" s="298">
        <f>RiepilogoTariffe!I39</f>
        <v>2.5</v>
      </c>
      <c r="M113" s="291">
        <f t="shared" si="7"/>
        <v>4.75</v>
      </c>
      <c r="N113" s="211"/>
      <c r="O113" s="323">
        <f t="shared" si="8"/>
        <v>-2.0868936534796489E-2</v>
      </c>
    </row>
    <row r="114" spans="1:15" x14ac:dyDescent="0.25">
      <c r="B114" s="211"/>
      <c r="C114" s="211"/>
      <c r="D114" s="211"/>
      <c r="E114" s="211"/>
      <c r="F114" s="211"/>
      <c r="G114" s="298" t="e">
        <f t="shared" si="4"/>
        <v>#DIV/0!</v>
      </c>
      <c r="H114" s="298" t="e">
        <f t="shared" si="5"/>
        <v>#DIV/0!</v>
      </c>
      <c r="I114" s="291" t="e">
        <f t="shared" si="6"/>
        <v>#DIV/0!</v>
      </c>
      <c r="J114" s="298"/>
      <c r="K114" s="298"/>
      <c r="L114" s="298"/>
      <c r="M114" s="291">
        <f t="shared" si="7"/>
        <v>0</v>
      </c>
      <c r="N114" s="211"/>
      <c r="O114" s="323" t="e">
        <f t="shared" si="8"/>
        <v>#DIV/0!</v>
      </c>
    </row>
    <row r="115" spans="1:15" x14ac:dyDescent="0.25">
      <c r="A115" s="99"/>
      <c r="B115" s="212"/>
      <c r="C115" s="211"/>
      <c r="D115" s="211"/>
      <c r="E115" s="211"/>
      <c r="F115" s="211"/>
      <c r="G115" s="298" t="e">
        <f t="shared" si="4"/>
        <v>#DIV/0!</v>
      </c>
      <c r="H115" s="298" t="e">
        <f t="shared" si="5"/>
        <v>#DIV/0!</v>
      </c>
      <c r="I115" s="291" t="e">
        <f>G115+H115</f>
        <v>#DIV/0!</v>
      </c>
      <c r="J115" s="298"/>
      <c r="K115" s="298"/>
      <c r="L115" s="298"/>
      <c r="M115" s="291">
        <f t="shared" si="7"/>
        <v>0</v>
      </c>
      <c r="N115" s="211"/>
      <c r="O115" s="323" t="e">
        <f t="shared" si="8"/>
        <v>#DIV/0!</v>
      </c>
    </row>
    <row r="116" spans="1:15" x14ac:dyDescent="0.25">
      <c r="B116" s="211"/>
      <c r="C116" s="211"/>
      <c r="D116" s="211"/>
      <c r="E116" s="211"/>
      <c r="F116" s="211"/>
      <c r="G116" s="298" t="e">
        <f t="shared" si="4"/>
        <v>#DIV/0!</v>
      </c>
      <c r="H116" s="298" t="e">
        <f t="shared" si="5"/>
        <v>#DIV/0!</v>
      </c>
      <c r="I116" s="291" t="e">
        <f t="shared" si="6"/>
        <v>#DIV/0!</v>
      </c>
      <c r="J116" s="298"/>
      <c r="K116" s="298"/>
      <c r="L116" s="298"/>
      <c r="M116" s="291">
        <f t="shared" si="7"/>
        <v>0</v>
      </c>
      <c r="N116" s="211"/>
      <c r="O116" s="323" t="e">
        <f t="shared" si="8"/>
        <v>#DIV/0!</v>
      </c>
    </row>
    <row r="117" spans="1:15" x14ac:dyDescent="0.25">
      <c r="B117" s="211"/>
      <c r="C117" s="211"/>
      <c r="D117" s="211"/>
      <c r="E117" s="211"/>
      <c r="F117" s="211"/>
      <c r="G117" s="298" t="e">
        <f t="shared" si="4"/>
        <v>#DIV/0!</v>
      </c>
      <c r="H117" s="298" t="e">
        <f t="shared" si="5"/>
        <v>#DIV/0!</v>
      </c>
      <c r="I117" s="291" t="e">
        <f t="shared" si="6"/>
        <v>#DIV/0!</v>
      </c>
      <c r="J117" s="298"/>
      <c r="K117" s="298"/>
      <c r="L117" s="298"/>
      <c r="M117" s="291">
        <f t="shared" si="7"/>
        <v>0</v>
      </c>
      <c r="N117" s="211"/>
      <c r="O117" s="323" t="e">
        <f t="shared" si="8"/>
        <v>#DIV/0!</v>
      </c>
    </row>
    <row r="118" spans="1:15" x14ac:dyDescent="0.25">
      <c r="B118" s="211"/>
      <c r="C118" s="211"/>
      <c r="D118" s="211"/>
      <c r="E118" s="211"/>
      <c r="F118" s="211"/>
      <c r="G118" s="298" t="e">
        <f t="shared" si="4"/>
        <v>#DIV/0!</v>
      </c>
      <c r="H118" s="298" t="e">
        <f t="shared" si="5"/>
        <v>#DIV/0!</v>
      </c>
      <c r="I118" s="291" t="e">
        <f t="shared" si="6"/>
        <v>#DIV/0!</v>
      </c>
      <c r="J118" s="298"/>
      <c r="K118" s="298"/>
      <c r="L118" s="298"/>
      <c r="M118" s="291">
        <f t="shared" si="7"/>
        <v>0</v>
      </c>
      <c r="N118" s="211"/>
      <c r="O118" s="323" t="e">
        <f t="shared" si="8"/>
        <v>#DIV/0!</v>
      </c>
    </row>
    <row r="119" spans="1:15" x14ac:dyDescent="0.25">
      <c r="B119" s="211"/>
      <c r="C119" s="211"/>
      <c r="D119" s="211"/>
      <c r="E119" s="211"/>
      <c r="F119" s="211"/>
      <c r="G119" s="298" t="e">
        <f t="shared" si="4"/>
        <v>#DIV/0!</v>
      </c>
      <c r="H119" s="298" t="e">
        <f t="shared" si="5"/>
        <v>#DIV/0!</v>
      </c>
      <c r="I119" s="291" t="e">
        <f t="shared" si="6"/>
        <v>#DIV/0!</v>
      </c>
      <c r="J119" s="298"/>
      <c r="K119" s="298"/>
      <c r="L119" s="298"/>
      <c r="M119" s="291">
        <f t="shared" si="7"/>
        <v>0</v>
      </c>
      <c r="N119" s="211"/>
      <c r="O119" s="323" t="e">
        <f t="shared" si="8"/>
        <v>#DIV/0!</v>
      </c>
    </row>
    <row r="120" spans="1:15" x14ac:dyDescent="0.25">
      <c r="B120" s="211"/>
      <c r="C120" s="211"/>
      <c r="D120" s="211"/>
      <c r="E120" s="211"/>
      <c r="F120" s="211"/>
      <c r="G120" s="298" t="e">
        <f t="shared" si="4"/>
        <v>#DIV/0!</v>
      </c>
      <c r="H120" s="298" t="e">
        <f t="shared" si="5"/>
        <v>#DIV/0!</v>
      </c>
      <c r="I120" s="291" t="e">
        <f t="shared" si="6"/>
        <v>#DIV/0!</v>
      </c>
      <c r="J120" s="298"/>
      <c r="K120" s="298"/>
      <c r="L120" s="298"/>
      <c r="M120" s="291">
        <f t="shared" si="7"/>
        <v>0</v>
      </c>
      <c r="N120" s="211"/>
      <c r="O120" s="323" t="e">
        <f t="shared" si="8"/>
        <v>#DIV/0!</v>
      </c>
    </row>
    <row r="121" spans="1:15" x14ac:dyDescent="0.25">
      <c r="A121" s="99"/>
      <c r="B121" s="211"/>
      <c r="C121" s="211"/>
      <c r="D121" s="211"/>
      <c r="E121" s="211"/>
      <c r="F121" s="211"/>
      <c r="G121" s="298" t="e">
        <f t="shared" si="4"/>
        <v>#DIV/0!</v>
      </c>
      <c r="H121" s="298" t="e">
        <f t="shared" si="5"/>
        <v>#DIV/0!</v>
      </c>
      <c r="I121" s="291" t="e">
        <f>G121+H121</f>
        <v>#DIV/0!</v>
      </c>
      <c r="J121" s="298"/>
      <c r="K121" s="320"/>
      <c r="L121" s="320"/>
      <c r="M121" s="329">
        <f t="shared" ref="M121" si="9">K121+L121</f>
        <v>0</v>
      </c>
      <c r="N121" s="211"/>
      <c r="O121" s="323" t="e">
        <f t="shared" ref="O121" si="10">I121-M121</f>
        <v>#DIV/0!</v>
      </c>
    </row>
    <row r="122" spans="1:15" x14ac:dyDescent="0.25">
      <c r="B122" s="211"/>
      <c r="C122" s="211"/>
      <c r="D122" s="211"/>
      <c r="E122" s="211"/>
      <c r="F122" s="211"/>
      <c r="G122" s="298" t="e">
        <f t="shared" si="4"/>
        <v>#DIV/0!</v>
      </c>
      <c r="H122" s="298" t="e">
        <f t="shared" si="5"/>
        <v>#DIV/0!</v>
      </c>
      <c r="I122" s="291" t="e">
        <f t="shared" si="6"/>
        <v>#DIV/0!</v>
      </c>
      <c r="J122" s="298"/>
      <c r="K122" s="298"/>
      <c r="L122" s="298"/>
      <c r="M122" s="291">
        <f t="shared" si="7"/>
        <v>0</v>
      </c>
      <c r="N122" s="211"/>
      <c r="O122" s="323" t="e">
        <f t="shared" si="8"/>
        <v>#DIV/0!</v>
      </c>
    </row>
    <row r="123" spans="1:15" x14ac:dyDescent="0.25">
      <c r="B123" s="211"/>
      <c r="C123" s="211"/>
      <c r="D123" s="211"/>
      <c r="E123" s="211"/>
      <c r="F123" s="211"/>
      <c r="G123" s="298" t="e">
        <f t="shared" si="4"/>
        <v>#DIV/0!</v>
      </c>
      <c r="H123" s="298" t="e">
        <f t="shared" si="5"/>
        <v>#DIV/0!</v>
      </c>
      <c r="I123" s="291" t="e">
        <f t="shared" si="6"/>
        <v>#DIV/0!</v>
      </c>
      <c r="J123" s="298"/>
      <c r="K123" s="298"/>
      <c r="L123" s="298"/>
      <c r="M123" s="291">
        <f t="shared" si="7"/>
        <v>0</v>
      </c>
      <c r="N123" s="211"/>
      <c r="O123" s="323" t="e">
        <f t="shared" si="8"/>
        <v>#DIV/0!</v>
      </c>
    </row>
    <row r="124" spans="1:15" x14ac:dyDescent="0.25">
      <c r="B124" s="211"/>
      <c r="C124" s="211"/>
      <c r="D124" s="211"/>
      <c r="E124" s="211"/>
      <c r="F124" s="211"/>
      <c r="G124" s="298" t="e">
        <f t="shared" si="4"/>
        <v>#DIV/0!</v>
      </c>
      <c r="H124" s="298" t="e">
        <f t="shared" si="5"/>
        <v>#DIV/0!</v>
      </c>
      <c r="I124" s="291" t="e">
        <f t="shared" si="6"/>
        <v>#DIV/0!</v>
      </c>
      <c r="J124" s="298"/>
      <c r="K124" s="298"/>
      <c r="L124" s="298"/>
      <c r="M124" s="291">
        <f t="shared" si="7"/>
        <v>0</v>
      </c>
      <c r="N124" s="211"/>
      <c r="O124" s="323" t="e">
        <f t="shared" si="8"/>
        <v>#DIV/0!</v>
      </c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</sheetData>
  <mergeCells count="6">
    <mergeCell ref="G91:I91"/>
    <mergeCell ref="K91:M91"/>
    <mergeCell ref="A1:O1"/>
    <mergeCell ref="A89:O89"/>
    <mergeCell ref="A48:M48"/>
    <mergeCell ref="A7:M7"/>
  </mergeCells>
  <phoneticPr fontId="30" type="noConversion"/>
  <pageMargins left="0.47244094488188981" right="0.47244094488188981" top="0.42" bottom="0.38" header="0.31496062992125984" footer="0.31496062992125984"/>
  <pageSetup paperSize="9" scale="82" fitToHeight="0" orientation="landscape" r:id="rId1"/>
  <rowBreaks count="2" manualBreakCount="2">
    <brk id="46" max="13" man="1"/>
    <brk id="8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G13"/>
  <sheetViews>
    <sheetView workbookViewId="0">
      <selection activeCell="G4" sqref="G4"/>
    </sheetView>
  </sheetViews>
  <sheetFormatPr defaultRowHeight="15" x14ac:dyDescent="0.25"/>
  <cols>
    <col min="7" max="7" width="13.28515625" bestFit="1" customWidth="1"/>
  </cols>
  <sheetData>
    <row r="2" spans="1:7" x14ac:dyDescent="0.25">
      <c r="G2" s="3"/>
    </row>
    <row r="3" spans="1:7" x14ac:dyDescent="0.25">
      <c r="A3" t="s">
        <v>117</v>
      </c>
      <c r="G3" s="3">
        <f>UtenzeDomestiche!I21+UtenzeNonDomestiche!I46+'DATI INPUT'!F48</f>
        <v>120550.28400000007</v>
      </c>
    </row>
    <row r="4" spans="1:7" x14ac:dyDescent="0.25">
      <c r="A4" t="s">
        <v>118</v>
      </c>
      <c r="G4" s="15">
        <v>0.3</v>
      </c>
    </row>
    <row r="5" spans="1:7" x14ac:dyDescent="0.25">
      <c r="A5" t="s">
        <v>119</v>
      </c>
      <c r="G5" s="3">
        <f>G3*G4</f>
        <v>36165.085200000023</v>
      </c>
    </row>
    <row r="9" spans="1:7" x14ac:dyDescent="0.25">
      <c r="B9" t="s">
        <v>120</v>
      </c>
      <c r="G9" s="29"/>
    </row>
    <row r="10" spans="1:7" x14ac:dyDescent="0.25">
      <c r="B10" t="s">
        <v>121</v>
      </c>
      <c r="G10" s="29"/>
    </row>
    <row r="11" spans="1:7" x14ac:dyDescent="0.25">
      <c r="B11" t="s">
        <v>122</v>
      </c>
      <c r="G11" s="29"/>
    </row>
    <row r="12" spans="1:7" x14ac:dyDescent="0.25">
      <c r="B12" t="s">
        <v>123</v>
      </c>
      <c r="G12" s="29"/>
    </row>
    <row r="13" spans="1:7" x14ac:dyDescent="0.25">
      <c r="G13" s="3">
        <f>SUM(G9:G12)</f>
        <v>0</v>
      </c>
    </row>
  </sheetData>
  <phoneticPr fontId="30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&amp;R4 - SERVIZI INDIVISIBILI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4"/>
  <sheetViews>
    <sheetView zoomScale="85" zoomScaleNormal="85" workbookViewId="0">
      <selection activeCell="A14" sqref="A14:XFD14"/>
    </sheetView>
  </sheetViews>
  <sheetFormatPr defaultRowHeight="15" x14ac:dyDescent="0.25"/>
  <cols>
    <col min="1" max="1" width="13.28515625" style="12" customWidth="1"/>
    <col min="6" max="6" width="2.28515625" customWidth="1"/>
  </cols>
  <sheetData>
    <row r="1" spans="1:10" x14ac:dyDescent="0.25">
      <c r="B1" s="475" t="s">
        <v>48</v>
      </c>
      <c r="C1" s="475"/>
      <c r="D1" s="475"/>
      <c r="E1" s="475"/>
      <c r="G1" s="476" t="s">
        <v>49</v>
      </c>
      <c r="H1" s="476"/>
      <c r="I1" s="476"/>
      <c r="J1" s="476"/>
    </row>
    <row r="2" spans="1:10" ht="18.75" x14ac:dyDescent="0.3">
      <c r="B2" s="474" t="s">
        <v>203</v>
      </c>
      <c r="C2" s="474"/>
      <c r="D2" s="474" t="s">
        <v>204</v>
      </c>
      <c r="E2" s="474"/>
      <c r="G2" s="474" t="s">
        <v>203</v>
      </c>
      <c r="H2" s="474"/>
      <c r="I2" s="474" t="s">
        <v>204</v>
      </c>
      <c r="J2" s="474"/>
    </row>
    <row r="3" spans="1:10" x14ac:dyDescent="0.25">
      <c r="A3" s="146">
        <v>1</v>
      </c>
      <c r="B3" s="137">
        <v>0.32</v>
      </c>
      <c r="C3" s="195">
        <v>0.51</v>
      </c>
      <c r="D3" s="138">
        <v>2.6</v>
      </c>
      <c r="E3" s="141">
        <v>4.2</v>
      </c>
      <c r="G3" s="137">
        <f>B3-(B3*50%)</f>
        <v>0.16</v>
      </c>
      <c r="H3" s="138">
        <f>C3+(C3*50%)</f>
        <v>0.76500000000000001</v>
      </c>
      <c r="I3" s="138">
        <f>D3-(D3*50%)</f>
        <v>1.3</v>
      </c>
      <c r="J3" s="141">
        <f>E3+(E3*50%)</f>
        <v>6.3000000000000007</v>
      </c>
    </row>
    <row r="4" spans="1:10" x14ac:dyDescent="0.25">
      <c r="A4" s="146">
        <v>2</v>
      </c>
      <c r="B4" s="139">
        <v>0.67</v>
      </c>
      <c r="C4" s="140">
        <v>0.8</v>
      </c>
      <c r="D4" s="140">
        <v>5.51</v>
      </c>
      <c r="E4" s="142">
        <v>6.55</v>
      </c>
      <c r="G4" s="139">
        <f t="shared" ref="G4:G23" si="0">B4-B4*50%</f>
        <v>0.33500000000000002</v>
      </c>
      <c r="H4" s="140">
        <f t="shared" ref="H4:H23" si="1">C4+(C4*50%)</f>
        <v>1.2000000000000002</v>
      </c>
      <c r="I4" s="140">
        <f t="shared" ref="I4:I23" si="2">D4-(D4*50%)</f>
        <v>2.7549999999999999</v>
      </c>
      <c r="J4" s="142">
        <f t="shared" ref="J4:J23" si="3">E4+(E4*50%)</f>
        <v>9.8249999999999993</v>
      </c>
    </row>
    <row r="5" spans="1:10" x14ac:dyDescent="0.25">
      <c r="A5" s="146">
        <v>3</v>
      </c>
      <c r="B5" s="139">
        <v>0.38</v>
      </c>
      <c r="C5" s="140">
        <v>0.63</v>
      </c>
      <c r="D5" s="140">
        <v>3.11</v>
      </c>
      <c r="E5" s="142">
        <v>5.2</v>
      </c>
      <c r="G5" s="139">
        <f t="shared" si="0"/>
        <v>0.19</v>
      </c>
      <c r="H5" s="140">
        <f t="shared" si="1"/>
        <v>0.94500000000000006</v>
      </c>
      <c r="I5" s="140">
        <f t="shared" si="2"/>
        <v>1.5549999999999999</v>
      </c>
      <c r="J5" s="142">
        <f t="shared" si="3"/>
        <v>7.8000000000000007</v>
      </c>
    </row>
    <row r="6" spans="1:10" x14ac:dyDescent="0.25">
      <c r="A6" s="146">
        <v>4</v>
      </c>
      <c r="B6" s="139">
        <v>0.3</v>
      </c>
      <c r="C6" s="140">
        <v>0.43</v>
      </c>
      <c r="D6" s="140">
        <v>2.5</v>
      </c>
      <c r="E6" s="142">
        <v>3.55</v>
      </c>
      <c r="G6" s="139">
        <f t="shared" si="0"/>
        <v>0.15</v>
      </c>
      <c r="H6" s="140">
        <f t="shared" si="1"/>
        <v>0.64500000000000002</v>
      </c>
      <c r="I6" s="140">
        <f t="shared" si="2"/>
        <v>1.25</v>
      </c>
      <c r="J6" s="142">
        <f t="shared" si="3"/>
        <v>5.3249999999999993</v>
      </c>
    </row>
    <row r="7" spans="1:10" x14ac:dyDescent="0.25">
      <c r="A7" s="146">
        <v>5</v>
      </c>
      <c r="B7" s="139">
        <v>1.07</v>
      </c>
      <c r="C7" s="140">
        <v>1.33</v>
      </c>
      <c r="D7" s="140">
        <v>8.7899999999999991</v>
      </c>
      <c r="E7" s="142">
        <v>10.93</v>
      </c>
      <c r="G7" s="139">
        <f t="shared" si="0"/>
        <v>0.53500000000000003</v>
      </c>
      <c r="H7" s="140">
        <f t="shared" si="1"/>
        <v>1.9950000000000001</v>
      </c>
      <c r="I7" s="140">
        <f t="shared" si="2"/>
        <v>4.3949999999999996</v>
      </c>
      <c r="J7" s="142">
        <f t="shared" si="3"/>
        <v>16.395</v>
      </c>
    </row>
    <row r="8" spans="1:10" x14ac:dyDescent="0.25">
      <c r="A8" s="146">
        <v>6</v>
      </c>
      <c r="B8" s="139">
        <v>0.8</v>
      </c>
      <c r="C8" s="140">
        <v>0.91</v>
      </c>
      <c r="D8" s="140">
        <v>6.55</v>
      </c>
      <c r="E8" s="142">
        <v>7.49</v>
      </c>
      <c r="G8" s="139">
        <f t="shared" si="0"/>
        <v>0.4</v>
      </c>
      <c r="H8" s="140">
        <f t="shared" si="1"/>
        <v>1.365</v>
      </c>
      <c r="I8" s="140">
        <f t="shared" si="2"/>
        <v>3.2749999999999999</v>
      </c>
      <c r="J8" s="142">
        <f t="shared" si="3"/>
        <v>11.234999999999999</v>
      </c>
    </row>
    <row r="9" spans="1:10" x14ac:dyDescent="0.25">
      <c r="A9" s="146">
        <v>7</v>
      </c>
      <c r="B9" s="139">
        <v>0.95</v>
      </c>
      <c r="C9" s="140">
        <v>1</v>
      </c>
      <c r="D9" s="140">
        <v>7.82</v>
      </c>
      <c r="E9" s="142">
        <v>8.19</v>
      </c>
      <c r="G9" s="139">
        <f t="shared" si="0"/>
        <v>0.47499999999999998</v>
      </c>
      <c r="H9" s="140">
        <f t="shared" si="1"/>
        <v>1.5</v>
      </c>
      <c r="I9" s="140">
        <f t="shared" si="2"/>
        <v>3.91</v>
      </c>
      <c r="J9" s="142">
        <f t="shared" si="3"/>
        <v>12.285</v>
      </c>
    </row>
    <row r="10" spans="1:10" x14ac:dyDescent="0.25">
      <c r="A10" s="146">
        <v>8</v>
      </c>
      <c r="B10" s="139">
        <v>1</v>
      </c>
      <c r="C10" s="140">
        <v>1.1299999999999999</v>
      </c>
      <c r="D10" s="140">
        <v>8.2100000000000009</v>
      </c>
      <c r="E10" s="142">
        <v>9.3000000000000007</v>
      </c>
      <c r="G10" s="139">
        <f t="shared" si="0"/>
        <v>0.5</v>
      </c>
      <c r="H10" s="140">
        <f t="shared" si="1"/>
        <v>1.6949999999999998</v>
      </c>
      <c r="I10" s="140">
        <f t="shared" si="2"/>
        <v>4.1050000000000004</v>
      </c>
      <c r="J10" s="142">
        <f t="shared" si="3"/>
        <v>13.950000000000001</v>
      </c>
    </row>
    <row r="11" spans="1:10" x14ac:dyDescent="0.25">
      <c r="A11" s="146">
        <v>9</v>
      </c>
      <c r="B11" s="139">
        <v>0.55000000000000004</v>
      </c>
      <c r="C11" s="140">
        <v>0.57999999999999996</v>
      </c>
      <c r="D11" s="140">
        <v>4.5</v>
      </c>
      <c r="E11" s="142">
        <v>4.78</v>
      </c>
      <c r="G11" s="139">
        <f t="shared" si="0"/>
        <v>0.27500000000000002</v>
      </c>
      <c r="H11" s="140">
        <f t="shared" si="1"/>
        <v>0.86999999999999988</v>
      </c>
      <c r="I11" s="140">
        <f t="shared" si="2"/>
        <v>2.25</v>
      </c>
      <c r="J11" s="142">
        <f t="shared" si="3"/>
        <v>7.17</v>
      </c>
    </row>
    <row r="12" spans="1:10" x14ac:dyDescent="0.25">
      <c r="A12" s="146">
        <v>10</v>
      </c>
      <c r="B12" s="139">
        <v>0.87</v>
      </c>
      <c r="C12" s="140">
        <v>1.1100000000000001</v>
      </c>
      <c r="D12" s="140">
        <v>7.11</v>
      </c>
      <c r="E12" s="142">
        <v>9.1199999999999992</v>
      </c>
      <c r="G12" s="139">
        <f t="shared" si="0"/>
        <v>0.435</v>
      </c>
      <c r="H12" s="140">
        <f t="shared" si="1"/>
        <v>1.665</v>
      </c>
      <c r="I12" s="140">
        <f t="shared" si="2"/>
        <v>3.5550000000000002</v>
      </c>
      <c r="J12" s="142">
        <f t="shared" si="3"/>
        <v>13.68</v>
      </c>
    </row>
    <row r="13" spans="1:10" x14ac:dyDescent="0.25">
      <c r="A13" s="146">
        <v>11</v>
      </c>
      <c r="B13" s="139">
        <v>1.07</v>
      </c>
      <c r="C13" s="140">
        <v>1.52</v>
      </c>
      <c r="D13" s="140">
        <v>8.8000000000000007</v>
      </c>
      <c r="E13" s="142">
        <v>12.45</v>
      </c>
      <c r="G13" s="139">
        <f t="shared" si="0"/>
        <v>0.53500000000000003</v>
      </c>
      <c r="H13" s="140">
        <f t="shared" si="1"/>
        <v>2.2800000000000002</v>
      </c>
      <c r="I13" s="140">
        <f t="shared" si="2"/>
        <v>4.4000000000000004</v>
      </c>
      <c r="J13" s="142">
        <f t="shared" si="3"/>
        <v>18.674999999999997</v>
      </c>
    </row>
    <row r="14" spans="1:10" x14ac:dyDescent="0.25">
      <c r="A14" s="146">
        <v>12</v>
      </c>
      <c r="B14" s="139">
        <v>0.72</v>
      </c>
      <c r="C14" s="140">
        <v>1.04</v>
      </c>
      <c r="D14" s="140">
        <v>5.9</v>
      </c>
      <c r="E14" s="142">
        <v>8.5</v>
      </c>
      <c r="G14" s="139">
        <f t="shared" si="0"/>
        <v>0.36</v>
      </c>
      <c r="H14" s="140">
        <f t="shared" si="1"/>
        <v>1.56</v>
      </c>
      <c r="I14" s="140">
        <f t="shared" si="2"/>
        <v>2.95</v>
      </c>
      <c r="J14" s="142">
        <f t="shared" si="3"/>
        <v>12.75</v>
      </c>
    </row>
    <row r="15" spans="1:10" x14ac:dyDescent="0.25">
      <c r="A15" s="146">
        <v>13</v>
      </c>
      <c r="B15" s="139">
        <v>0.92</v>
      </c>
      <c r="C15" s="140">
        <v>1.1599999999999999</v>
      </c>
      <c r="D15" s="140">
        <v>7.55</v>
      </c>
      <c r="E15" s="142">
        <v>9.48</v>
      </c>
      <c r="G15" s="139">
        <f t="shared" si="0"/>
        <v>0.46</v>
      </c>
      <c r="H15" s="140">
        <f t="shared" si="1"/>
        <v>1.7399999999999998</v>
      </c>
      <c r="I15" s="140">
        <f t="shared" si="2"/>
        <v>3.7749999999999999</v>
      </c>
      <c r="J15" s="142">
        <f t="shared" si="3"/>
        <v>14.22</v>
      </c>
    </row>
    <row r="16" spans="1:10" x14ac:dyDescent="0.25">
      <c r="A16" s="146">
        <v>14</v>
      </c>
      <c r="B16" s="139">
        <v>0.43</v>
      </c>
      <c r="C16" s="140">
        <v>0.91</v>
      </c>
      <c r="D16" s="140">
        <v>3.5</v>
      </c>
      <c r="E16" s="142">
        <v>7.5</v>
      </c>
      <c r="G16" s="139">
        <f t="shared" si="0"/>
        <v>0.215</v>
      </c>
      <c r="H16" s="140">
        <f t="shared" si="1"/>
        <v>1.365</v>
      </c>
      <c r="I16" s="140">
        <f t="shared" si="2"/>
        <v>1.75</v>
      </c>
      <c r="J16" s="142">
        <f t="shared" si="3"/>
        <v>11.25</v>
      </c>
    </row>
    <row r="17" spans="1:10" x14ac:dyDescent="0.25">
      <c r="A17" s="146">
        <v>15</v>
      </c>
      <c r="B17" s="139">
        <v>0.55000000000000004</v>
      </c>
      <c r="C17" s="140">
        <v>1.0900000000000001</v>
      </c>
      <c r="D17" s="140">
        <v>4.5</v>
      </c>
      <c r="E17" s="142">
        <v>8.92</v>
      </c>
      <c r="G17" s="139">
        <f t="shared" si="0"/>
        <v>0.27500000000000002</v>
      </c>
      <c r="H17" s="140">
        <f t="shared" si="1"/>
        <v>1.6350000000000002</v>
      </c>
      <c r="I17" s="140">
        <f t="shared" si="2"/>
        <v>2.25</v>
      </c>
      <c r="J17" s="142">
        <f t="shared" si="3"/>
        <v>13.379999999999999</v>
      </c>
    </row>
    <row r="18" spans="1:10" x14ac:dyDescent="0.25">
      <c r="A18" s="146">
        <v>16</v>
      </c>
      <c r="B18" s="139">
        <v>4.84</v>
      </c>
      <c r="C18" s="140">
        <v>7.42</v>
      </c>
      <c r="D18" s="140">
        <v>39.67</v>
      </c>
      <c r="E18" s="142">
        <v>60.88</v>
      </c>
      <c r="G18" s="139">
        <f t="shared" si="0"/>
        <v>2.42</v>
      </c>
      <c r="H18" s="140">
        <f t="shared" si="1"/>
        <v>11.129999999999999</v>
      </c>
      <c r="I18" s="140">
        <f t="shared" si="2"/>
        <v>19.835000000000001</v>
      </c>
      <c r="J18" s="142">
        <f t="shared" si="3"/>
        <v>91.320000000000007</v>
      </c>
    </row>
    <row r="19" spans="1:10" x14ac:dyDescent="0.25">
      <c r="A19" s="146">
        <v>17</v>
      </c>
      <c r="B19" s="139">
        <v>3.64</v>
      </c>
      <c r="C19" s="140">
        <v>6.28</v>
      </c>
      <c r="D19" s="140">
        <v>29.82</v>
      </c>
      <c r="E19" s="142">
        <v>51.47</v>
      </c>
      <c r="G19" s="139">
        <f t="shared" si="0"/>
        <v>1.82</v>
      </c>
      <c r="H19" s="140">
        <f t="shared" si="1"/>
        <v>9.42</v>
      </c>
      <c r="I19" s="140">
        <f t="shared" si="2"/>
        <v>14.91</v>
      </c>
      <c r="J19" s="142">
        <f t="shared" si="3"/>
        <v>77.204999999999998</v>
      </c>
    </row>
    <row r="20" spans="1:10" x14ac:dyDescent="0.25">
      <c r="A20" s="146">
        <v>18</v>
      </c>
      <c r="B20" s="139">
        <v>1.76</v>
      </c>
      <c r="C20" s="140">
        <v>2.38</v>
      </c>
      <c r="D20" s="140">
        <v>14.43</v>
      </c>
      <c r="E20" s="142">
        <v>19.55</v>
      </c>
      <c r="G20" s="139">
        <f t="shared" si="0"/>
        <v>0.88</v>
      </c>
      <c r="H20" s="140">
        <f t="shared" si="1"/>
        <v>3.57</v>
      </c>
      <c r="I20" s="140">
        <f t="shared" si="2"/>
        <v>7.2149999999999999</v>
      </c>
      <c r="J20" s="142">
        <f t="shared" si="3"/>
        <v>29.325000000000003</v>
      </c>
    </row>
    <row r="21" spans="1:10" x14ac:dyDescent="0.25">
      <c r="A21" s="146">
        <v>19</v>
      </c>
      <c r="B21" s="139">
        <v>1.54</v>
      </c>
      <c r="C21" s="140">
        <v>2.61</v>
      </c>
      <c r="D21" s="140">
        <v>12.59</v>
      </c>
      <c r="E21" s="142">
        <v>21.41</v>
      </c>
      <c r="G21" s="139">
        <f t="shared" si="0"/>
        <v>0.77</v>
      </c>
      <c r="H21" s="140">
        <f t="shared" si="1"/>
        <v>3.915</v>
      </c>
      <c r="I21" s="140">
        <f t="shared" si="2"/>
        <v>6.2949999999999999</v>
      </c>
      <c r="J21" s="142">
        <f t="shared" si="3"/>
        <v>32.115000000000002</v>
      </c>
    </row>
    <row r="22" spans="1:10" x14ac:dyDescent="0.25">
      <c r="A22" s="146">
        <v>20</v>
      </c>
      <c r="B22" s="139">
        <v>6.06</v>
      </c>
      <c r="C22" s="140">
        <v>10.44</v>
      </c>
      <c r="D22" s="140">
        <v>49.72</v>
      </c>
      <c r="E22" s="142">
        <v>85.6</v>
      </c>
      <c r="G22" s="139">
        <f t="shared" si="0"/>
        <v>3.03</v>
      </c>
      <c r="H22" s="140">
        <f t="shared" si="1"/>
        <v>15.66</v>
      </c>
      <c r="I22" s="140">
        <f t="shared" si="2"/>
        <v>24.86</v>
      </c>
      <c r="J22" s="142">
        <f t="shared" si="3"/>
        <v>128.39999999999998</v>
      </c>
    </row>
    <row r="23" spans="1:10" x14ac:dyDescent="0.25">
      <c r="A23" s="146">
        <v>21</v>
      </c>
      <c r="B23" s="139">
        <v>1.04</v>
      </c>
      <c r="C23" s="140">
        <v>1.64</v>
      </c>
      <c r="D23" s="140">
        <v>8.56</v>
      </c>
      <c r="E23" s="142">
        <v>13.45</v>
      </c>
      <c r="G23" s="139">
        <f t="shared" si="0"/>
        <v>0.52</v>
      </c>
      <c r="H23" s="140">
        <f t="shared" si="1"/>
        <v>2.46</v>
      </c>
      <c r="I23" s="140">
        <f t="shared" si="2"/>
        <v>4.28</v>
      </c>
      <c r="J23" s="142">
        <f t="shared" si="3"/>
        <v>20.174999999999997</v>
      </c>
    </row>
    <row r="24" spans="1:10" x14ac:dyDescent="0.25">
      <c r="A24" s="146">
        <v>22</v>
      </c>
      <c r="B24" s="139"/>
      <c r="C24" s="140"/>
      <c r="D24" s="140"/>
      <c r="E24" s="142"/>
      <c r="G24" s="139"/>
      <c r="H24" s="140"/>
      <c r="I24" s="140"/>
      <c r="J24" s="142"/>
    </row>
    <row r="25" spans="1:10" x14ac:dyDescent="0.25">
      <c r="A25" s="146" t="s">
        <v>6</v>
      </c>
      <c r="B25" s="139"/>
      <c r="C25" s="140"/>
      <c r="D25" s="140"/>
      <c r="E25" s="142"/>
      <c r="G25" s="139"/>
      <c r="H25" s="140"/>
      <c r="I25" s="140"/>
      <c r="J25" s="142"/>
    </row>
    <row r="26" spans="1:10" x14ac:dyDescent="0.25">
      <c r="A26" s="146">
        <v>23</v>
      </c>
      <c r="B26" s="139"/>
      <c r="C26" s="140"/>
      <c r="D26" s="140"/>
      <c r="E26" s="142"/>
      <c r="G26" s="139"/>
      <c r="H26" s="140"/>
      <c r="I26" s="140"/>
      <c r="J26" s="142"/>
    </row>
    <row r="27" spans="1:10" x14ac:dyDescent="0.25">
      <c r="A27" s="146">
        <v>24</v>
      </c>
      <c r="B27" s="139"/>
      <c r="C27" s="140"/>
      <c r="D27" s="140"/>
      <c r="E27" s="142"/>
      <c r="G27" s="139"/>
      <c r="H27" s="140"/>
      <c r="I27" s="140"/>
      <c r="J27" s="142"/>
    </row>
    <row r="28" spans="1:10" x14ac:dyDescent="0.25">
      <c r="A28" s="146">
        <v>25</v>
      </c>
      <c r="B28" s="139"/>
      <c r="C28" s="140"/>
      <c r="D28" s="140"/>
      <c r="E28" s="142"/>
      <c r="G28" s="139"/>
      <c r="H28" s="140"/>
      <c r="I28" s="140"/>
      <c r="J28" s="142"/>
    </row>
    <row r="29" spans="1:10" x14ac:dyDescent="0.25">
      <c r="A29" s="146">
        <v>26</v>
      </c>
      <c r="B29" s="139"/>
      <c r="C29" s="140"/>
      <c r="D29" s="140"/>
      <c r="E29" s="142"/>
      <c r="G29" s="139"/>
      <c r="H29" s="140"/>
      <c r="I29" s="140"/>
      <c r="J29" s="142"/>
    </row>
    <row r="30" spans="1:10" x14ac:dyDescent="0.25">
      <c r="A30" s="146">
        <v>27</v>
      </c>
      <c r="B30" s="139"/>
      <c r="C30" s="140"/>
      <c r="D30" s="140"/>
      <c r="E30" s="142"/>
      <c r="G30" s="139"/>
      <c r="H30" s="140"/>
      <c r="I30" s="140"/>
      <c r="J30" s="142"/>
    </row>
    <row r="31" spans="1:10" x14ac:dyDescent="0.25">
      <c r="A31" s="146" t="s">
        <v>5</v>
      </c>
      <c r="B31" s="139"/>
      <c r="C31" s="140"/>
      <c r="D31" s="140"/>
      <c r="E31" s="142"/>
      <c r="G31" s="139"/>
      <c r="H31" s="140"/>
      <c r="I31" s="140"/>
      <c r="J31" s="142"/>
    </row>
    <row r="32" spans="1:10" x14ac:dyDescent="0.25">
      <c r="A32" s="146">
        <v>28</v>
      </c>
      <c r="B32" s="139"/>
      <c r="C32" s="140"/>
      <c r="D32" s="140"/>
      <c r="E32" s="142"/>
      <c r="G32" s="139"/>
      <c r="H32" s="140"/>
      <c r="I32" s="140"/>
      <c r="J32" s="142"/>
    </row>
    <row r="33" spans="1:10" x14ac:dyDescent="0.25">
      <c r="A33" s="146">
        <v>29</v>
      </c>
      <c r="B33" s="139"/>
      <c r="C33" s="140"/>
      <c r="D33" s="140"/>
      <c r="E33" s="142"/>
      <c r="G33" s="139"/>
      <c r="H33" s="140"/>
      <c r="I33" s="140"/>
      <c r="J33" s="142"/>
    </row>
    <row r="34" spans="1:10" x14ac:dyDescent="0.25">
      <c r="A34" s="146">
        <v>30</v>
      </c>
      <c r="B34" s="143"/>
      <c r="C34" s="144"/>
      <c r="D34" s="144"/>
      <c r="E34" s="145"/>
      <c r="G34" s="143"/>
      <c r="H34" s="144"/>
      <c r="I34" s="144"/>
      <c r="J34" s="145"/>
    </row>
  </sheetData>
  <mergeCells count="6">
    <mergeCell ref="B2:C2"/>
    <mergeCell ref="D2:E2"/>
    <mergeCell ref="B1:E1"/>
    <mergeCell ref="G1:J1"/>
    <mergeCell ref="G2:H2"/>
    <mergeCell ref="I2:J2"/>
  </mergeCells>
  <phoneticPr fontId="30" type="noConversion"/>
  <pageMargins left="0.70866141732283472" right="0.70866141732283472" top="0.35433070866141736" bottom="0.35433070866141736" header="0.31496062992125984" footer="0.31496062992125984"/>
  <pageSetup paperSize="9" orientation="landscape" r:id="rId1"/>
  <ignoredErrors>
    <ignoredError sqref="I3:I23 H3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69"/>
  <sheetViews>
    <sheetView zoomScale="85" zoomScaleNormal="85" workbookViewId="0">
      <pane ySplit="1" topLeftCell="A2" activePane="bottomLeft" state="frozen"/>
      <selection pane="bottomLeft" activeCell="G7" sqref="G7"/>
    </sheetView>
  </sheetViews>
  <sheetFormatPr defaultRowHeight="15" x14ac:dyDescent="0.25"/>
  <cols>
    <col min="1" max="1" width="13.7109375" style="12" customWidth="1"/>
    <col min="2" max="2" width="13.5703125" customWidth="1"/>
    <col min="5" max="5" width="30.140625" customWidth="1"/>
    <col min="6" max="6" width="17.140625" customWidth="1"/>
    <col min="7" max="7" width="9.140625" style="12"/>
    <col min="8" max="8" width="12.28515625" style="192" customWidth="1"/>
    <col min="9" max="10" width="11.42578125" style="199" customWidth="1"/>
    <col min="11" max="11" width="12.28515625" style="192" customWidth="1"/>
    <col min="12" max="13" width="11.42578125" style="193" customWidth="1"/>
    <col min="15" max="15" width="9.28515625" bestFit="1" customWidth="1"/>
  </cols>
  <sheetData>
    <row r="1" spans="1:15" ht="45.75" thickBot="1" x14ac:dyDescent="0.3">
      <c r="A1" s="236" t="s">
        <v>8</v>
      </c>
      <c r="B1" s="236" t="s">
        <v>9</v>
      </c>
      <c r="C1" s="236" t="s">
        <v>10</v>
      </c>
      <c r="D1" s="236" t="s">
        <v>11</v>
      </c>
      <c r="E1" s="236" t="s">
        <v>229</v>
      </c>
      <c r="F1" s="236" t="s">
        <v>228</v>
      </c>
      <c r="G1" s="254" t="s">
        <v>12</v>
      </c>
      <c r="H1" s="255" t="s">
        <v>26</v>
      </c>
      <c r="I1" s="256" t="s">
        <v>13</v>
      </c>
      <c r="J1" s="256" t="s">
        <v>14</v>
      </c>
      <c r="K1" s="255" t="s">
        <v>27</v>
      </c>
      <c r="L1" s="256" t="s">
        <v>15</v>
      </c>
      <c r="M1" s="256" t="s">
        <v>2</v>
      </c>
    </row>
    <row r="2" spans="1:15" x14ac:dyDescent="0.25">
      <c r="A2" s="257">
        <v>0</v>
      </c>
      <c r="B2" s="258" t="s">
        <v>16</v>
      </c>
      <c r="C2" s="259"/>
      <c r="D2" s="258" t="s">
        <v>17</v>
      </c>
      <c r="E2" s="258" t="s">
        <v>18</v>
      </c>
      <c r="F2" s="258" t="s">
        <v>19</v>
      </c>
      <c r="G2" s="260"/>
      <c r="H2" s="261"/>
      <c r="I2" s="262">
        <v>0</v>
      </c>
      <c r="J2" s="262">
        <v>0</v>
      </c>
      <c r="K2" s="263"/>
      <c r="L2" s="264">
        <v>0</v>
      </c>
      <c r="M2" s="265"/>
      <c r="N2" s="482" t="s">
        <v>40</v>
      </c>
    </row>
    <row r="3" spans="1:15" x14ac:dyDescent="0.25">
      <c r="A3" s="266">
        <v>0</v>
      </c>
      <c r="B3" s="239" t="s">
        <v>16</v>
      </c>
      <c r="C3" s="238" t="b">
        <v>1</v>
      </c>
      <c r="D3" s="239" t="s">
        <v>17</v>
      </c>
      <c r="E3" s="239" t="s">
        <v>18</v>
      </c>
      <c r="F3" s="239" t="s">
        <v>19</v>
      </c>
      <c r="G3" s="243"/>
      <c r="H3" s="244"/>
      <c r="I3" s="245">
        <v>0</v>
      </c>
      <c r="J3" s="245">
        <f>I3</f>
        <v>0</v>
      </c>
      <c r="K3" s="249"/>
      <c r="L3" s="252">
        <v>0</v>
      </c>
      <c r="M3" s="253"/>
      <c r="N3" s="483"/>
    </row>
    <row r="4" spans="1:15" x14ac:dyDescent="0.25">
      <c r="A4" s="266">
        <v>2</v>
      </c>
      <c r="B4" s="239" t="s">
        <v>16</v>
      </c>
      <c r="C4" s="238"/>
      <c r="D4" s="239" t="s">
        <v>17</v>
      </c>
      <c r="E4" s="239" t="s">
        <v>18</v>
      </c>
      <c r="F4" s="239" t="s">
        <v>19</v>
      </c>
      <c r="G4" s="243"/>
      <c r="H4" s="244"/>
      <c r="I4" s="245">
        <v>0</v>
      </c>
      <c r="J4" s="245">
        <f>I4</f>
        <v>0</v>
      </c>
      <c r="K4" s="249"/>
      <c r="L4" s="252">
        <v>0</v>
      </c>
      <c r="M4" s="253"/>
      <c r="N4" s="483"/>
    </row>
    <row r="5" spans="1:15" x14ac:dyDescent="0.25">
      <c r="A5" s="266">
        <v>4</v>
      </c>
      <c r="B5" s="239" t="s">
        <v>16</v>
      </c>
      <c r="C5" s="238"/>
      <c r="D5" s="239" t="s">
        <v>17</v>
      </c>
      <c r="E5" s="239" t="s">
        <v>18</v>
      </c>
      <c r="F5" s="239" t="s">
        <v>19</v>
      </c>
      <c r="G5" s="243"/>
      <c r="H5" s="244"/>
      <c r="I5" s="245">
        <v>0</v>
      </c>
      <c r="J5" s="245">
        <v>0</v>
      </c>
      <c r="K5" s="249"/>
      <c r="L5" s="252">
        <v>0</v>
      </c>
      <c r="M5" s="253"/>
      <c r="N5" s="483"/>
    </row>
    <row r="6" spans="1:15" x14ac:dyDescent="0.25">
      <c r="A6" s="266">
        <v>0</v>
      </c>
      <c r="B6" s="239" t="s">
        <v>16</v>
      </c>
      <c r="C6" s="238"/>
      <c r="D6" s="239" t="s">
        <v>20</v>
      </c>
      <c r="E6" s="239" t="s">
        <v>21</v>
      </c>
      <c r="F6" s="239" t="s">
        <v>19</v>
      </c>
      <c r="G6" s="243"/>
      <c r="H6" s="244"/>
      <c r="I6" s="245">
        <v>0</v>
      </c>
      <c r="J6" s="245">
        <v>0</v>
      </c>
      <c r="K6" s="249"/>
      <c r="L6" s="252">
        <v>0</v>
      </c>
      <c r="M6" s="253"/>
      <c r="N6" s="483"/>
    </row>
    <row r="7" spans="1:15" x14ac:dyDescent="0.25">
      <c r="A7" s="266">
        <v>0</v>
      </c>
      <c r="B7" s="239" t="s">
        <v>16</v>
      </c>
      <c r="C7" s="238" t="b">
        <v>1</v>
      </c>
      <c r="D7" s="239" t="s">
        <v>20</v>
      </c>
      <c r="E7" s="239" t="s">
        <v>21</v>
      </c>
      <c r="F7" s="239" t="s">
        <v>19</v>
      </c>
      <c r="G7" s="243"/>
      <c r="H7" s="244"/>
      <c r="I7" s="245">
        <v>0</v>
      </c>
      <c r="J7" s="245">
        <v>0</v>
      </c>
      <c r="K7" s="249"/>
      <c r="L7" s="252">
        <v>0</v>
      </c>
      <c r="M7" s="253"/>
      <c r="N7" s="483"/>
    </row>
    <row r="8" spans="1:15" ht="15.75" thickBot="1" x14ac:dyDescent="0.3">
      <c r="A8" s="267">
        <v>2</v>
      </c>
      <c r="B8" s="268" t="s">
        <v>16</v>
      </c>
      <c r="C8" s="269"/>
      <c r="D8" s="268" t="s">
        <v>20</v>
      </c>
      <c r="E8" s="268" t="s">
        <v>21</v>
      </c>
      <c r="F8" s="268" t="s">
        <v>19</v>
      </c>
      <c r="G8" s="270"/>
      <c r="H8" s="271"/>
      <c r="I8" s="272">
        <v>0</v>
      </c>
      <c r="J8" s="272">
        <v>0</v>
      </c>
      <c r="K8" s="273"/>
      <c r="L8" s="274">
        <v>0</v>
      </c>
      <c r="M8" s="275"/>
      <c r="N8" s="484"/>
    </row>
    <row r="9" spans="1:15" ht="21" customHeight="1" thickBot="1" x14ac:dyDescent="0.3">
      <c r="B9" s="191"/>
      <c r="D9" s="191"/>
      <c r="E9" s="191"/>
      <c r="F9" s="191"/>
      <c r="G9" s="194"/>
      <c r="H9" s="200"/>
    </row>
    <row r="10" spans="1:15" x14ac:dyDescent="0.25">
      <c r="A10" s="477" t="s">
        <v>28</v>
      </c>
      <c r="B10" s="203" t="s">
        <v>22</v>
      </c>
      <c r="C10" s="204"/>
      <c r="D10" s="205" t="s">
        <v>17</v>
      </c>
      <c r="E10" s="205" t="s">
        <v>18</v>
      </c>
      <c r="F10" s="205" t="s">
        <v>19</v>
      </c>
      <c r="G10" s="206">
        <v>1</v>
      </c>
      <c r="H10" s="207">
        <f>IF(G10&gt;0,VLOOKUP(G10,RiduzioniUD!$B$2:$C$3,2),0)</f>
        <v>0</v>
      </c>
      <c r="I10" s="208">
        <v>0</v>
      </c>
      <c r="J10" s="218">
        <f t="shared" ref="J10:J16" si="0">I10-(I10*H10)</f>
        <v>0</v>
      </c>
      <c r="K10" s="207">
        <f>IF(G10&gt;0,VLOOKUP(G10,RiduzioniUD!$B$2:$C$3,2),0)</f>
        <v>0</v>
      </c>
      <c r="L10" s="219">
        <v>0</v>
      </c>
      <c r="M10" s="220">
        <f>L10-(L10*K10)</f>
        <v>0</v>
      </c>
    </row>
    <row r="11" spans="1:15" x14ac:dyDescent="0.25">
      <c r="A11" s="478"/>
      <c r="B11" s="210" t="s">
        <v>22</v>
      </c>
      <c r="C11" s="211" t="b">
        <v>1</v>
      </c>
      <c r="D11" s="212" t="s">
        <v>17</v>
      </c>
      <c r="E11" s="212" t="s">
        <v>18</v>
      </c>
      <c r="F11" s="212" t="s">
        <v>19</v>
      </c>
      <c r="G11" s="213">
        <v>1</v>
      </c>
      <c r="H11" s="214">
        <f>IF(G11&gt;0,VLOOKUP(G11,RiduzioniUD!$B$2:$C$3,2),0)</f>
        <v>0</v>
      </c>
      <c r="I11" s="215">
        <v>0</v>
      </c>
      <c r="J11" s="221">
        <f t="shared" si="0"/>
        <v>0</v>
      </c>
      <c r="K11" s="216">
        <f>IF(G11&gt;0,VLOOKUP(G11,RiduzioniUD!$B$2:$C$3,2),0)</f>
        <v>0</v>
      </c>
      <c r="L11" s="222">
        <v>0</v>
      </c>
      <c r="M11" s="223">
        <f t="shared" ref="M11:M16" si="1">L11-(L11*K11)</f>
        <v>0</v>
      </c>
      <c r="O11" s="193"/>
    </row>
    <row r="12" spans="1:15" x14ac:dyDescent="0.25">
      <c r="A12" s="478"/>
      <c r="B12" s="210" t="s">
        <v>22</v>
      </c>
      <c r="C12" s="211"/>
      <c r="D12" s="212" t="s">
        <v>20</v>
      </c>
      <c r="E12" s="212" t="s">
        <v>21</v>
      </c>
      <c r="F12" s="212" t="s">
        <v>19</v>
      </c>
      <c r="G12" s="213">
        <v>1</v>
      </c>
      <c r="H12" s="217">
        <v>1</v>
      </c>
      <c r="I12" s="215">
        <v>0</v>
      </c>
      <c r="J12" s="231">
        <f t="shared" si="0"/>
        <v>0</v>
      </c>
      <c r="K12" s="216">
        <f>IF(G12&gt;0,VLOOKUP(G12,RiduzioniUD!$B$2:$C$3,2),0)</f>
        <v>0</v>
      </c>
      <c r="L12" s="222">
        <v>0</v>
      </c>
      <c r="M12" s="223">
        <f t="shared" si="1"/>
        <v>0</v>
      </c>
    </row>
    <row r="13" spans="1:15" x14ac:dyDescent="0.25">
      <c r="A13" s="478"/>
      <c r="B13" s="210" t="s">
        <v>22</v>
      </c>
      <c r="C13" s="211" t="b">
        <v>1</v>
      </c>
      <c r="D13" s="212" t="s">
        <v>20</v>
      </c>
      <c r="E13" s="212" t="s">
        <v>21</v>
      </c>
      <c r="F13" s="212" t="s">
        <v>19</v>
      </c>
      <c r="G13" s="213">
        <v>1</v>
      </c>
      <c r="H13" s="217">
        <v>1</v>
      </c>
      <c r="I13" s="215">
        <v>0</v>
      </c>
      <c r="J13" s="231">
        <f t="shared" si="0"/>
        <v>0</v>
      </c>
      <c r="K13" s="216">
        <f>IF(G13&gt;0,VLOOKUP(G13,RiduzioniUD!$B$2:$C$3,2),0)</f>
        <v>0</v>
      </c>
      <c r="L13" s="222">
        <v>0</v>
      </c>
      <c r="M13" s="223">
        <f t="shared" si="1"/>
        <v>0</v>
      </c>
    </row>
    <row r="14" spans="1:15" x14ac:dyDescent="0.25">
      <c r="A14" s="478"/>
      <c r="B14" s="277" t="s">
        <v>22</v>
      </c>
      <c r="C14" s="278"/>
      <c r="D14" s="276" t="s">
        <v>23</v>
      </c>
      <c r="E14" s="276" t="s">
        <v>24</v>
      </c>
      <c r="F14" s="276" t="s">
        <v>19</v>
      </c>
      <c r="G14" s="213">
        <v>2</v>
      </c>
      <c r="H14" s="214">
        <f>IF(G14&gt;0,VLOOKUP(G14,RiduzioniUD!$B$2:$C$3,2),0)</f>
        <v>0</v>
      </c>
      <c r="I14" s="215">
        <v>0</v>
      </c>
      <c r="J14" s="221">
        <f t="shared" si="0"/>
        <v>0</v>
      </c>
      <c r="K14" s="216">
        <f>IF(G14&gt;0,VLOOKUP(G14,RiduzioniUD!$B$2:$C$3,2),0)</f>
        <v>0</v>
      </c>
      <c r="L14" s="222">
        <v>0</v>
      </c>
      <c r="M14" s="223">
        <f t="shared" si="1"/>
        <v>0</v>
      </c>
    </row>
    <row r="15" spans="1:15" x14ac:dyDescent="0.25">
      <c r="A15" s="478"/>
      <c r="B15" s="237" t="s">
        <v>16</v>
      </c>
      <c r="C15" s="238"/>
      <c r="D15" s="239" t="s">
        <v>17</v>
      </c>
      <c r="E15" s="239" t="s">
        <v>18</v>
      </c>
      <c r="F15" s="239" t="s">
        <v>19</v>
      </c>
      <c r="G15" s="243">
        <v>1</v>
      </c>
      <c r="H15" s="244">
        <f>IF(G15&gt;0,VLOOKUP(G15,RiduzioniUD!$B$2:$C$3,2),0)</f>
        <v>0</v>
      </c>
      <c r="I15" s="245">
        <v>0</v>
      </c>
      <c r="J15" s="221">
        <f t="shared" si="0"/>
        <v>0</v>
      </c>
      <c r="K15" s="249">
        <f>IF(G15&gt;0,VLOOKUP(G15,RiduzioniUD!$B$2:$C$3,2),0)</f>
        <v>0</v>
      </c>
      <c r="L15" s="222">
        <v>0</v>
      </c>
      <c r="M15" s="223">
        <f t="shared" si="1"/>
        <v>0</v>
      </c>
    </row>
    <row r="16" spans="1:15" x14ac:dyDescent="0.25">
      <c r="A16" s="478"/>
      <c r="B16" s="240" t="s">
        <v>16</v>
      </c>
      <c r="C16" s="241"/>
      <c r="D16" s="242" t="s">
        <v>20</v>
      </c>
      <c r="E16" s="242" t="s">
        <v>21</v>
      </c>
      <c r="F16" s="242" t="s">
        <v>19</v>
      </c>
      <c r="G16" s="246">
        <v>1</v>
      </c>
      <c r="H16" s="247">
        <v>1</v>
      </c>
      <c r="I16" s="248">
        <v>0</v>
      </c>
      <c r="J16" s="232">
        <f t="shared" si="0"/>
        <v>0</v>
      </c>
      <c r="K16" s="250">
        <f>IF(G16&gt;0,VLOOKUP(G16,RiduzioniUD!$B$2:$C$3,2),0)</f>
        <v>0</v>
      </c>
      <c r="L16" s="224">
        <v>0</v>
      </c>
      <c r="M16" s="225">
        <f t="shared" si="1"/>
        <v>0</v>
      </c>
    </row>
    <row r="17" spans="1:13" ht="15.75" thickBot="1" x14ac:dyDescent="0.3">
      <c r="A17" s="479"/>
      <c r="B17" s="488" t="s">
        <v>34</v>
      </c>
      <c r="C17" s="489"/>
      <c r="D17" s="489"/>
      <c r="E17" s="489"/>
      <c r="F17" s="489"/>
      <c r="G17" s="489"/>
      <c r="H17" s="489"/>
      <c r="I17" s="229">
        <f>SUM(I10:I14)</f>
        <v>0</v>
      </c>
      <c r="J17" s="351">
        <f>SUM(J10:J14)</f>
        <v>0</v>
      </c>
      <c r="K17" s="201"/>
      <c r="L17" s="355">
        <f>SUM(L10:L14)</f>
        <v>0</v>
      </c>
      <c r="M17" s="356">
        <f>SUM(M10:M14)</f>
        <v>0</v>
      </c>
    </row>
    <row r="18" spans="1:13" ht="15.75" thickBot="1" x14ac:dyDescent="0.3">
      <c r="B18" s="191"/>
      <c r="D18" s="191"/>
      <c r="E18" s="191"/>
      <c r="F18" s="191"/>
      <c r="G18" s="194"/>
      <c r="H18" s="200"/>
    </row>
    <row r="19" spans="1:13" x14ac:dyDescent="0.25">
      <c r="A19" s="485" t="s">
        <v>29</v>
      </c>
      <c r="B19" s="203" t="s">
        <v>22</v>
      </c>
      <c r="C19" s="204"/>
      <c r="D19" s="205" t="s">
        <v>17</v>
      </c>
      <c r="E19" s="205" t="s">
        <v>18</v>
      </c>
      <c r="F19" s="205" t="s">
        <v>19</v>
      </c>
      <c r="G19" s="206"/>
      <c r="H19" s="207">
        <f>IF(G19&gt;0,VLOOKUP(G19,RiduzioniUD!$B$2:$C$3,2),0)</f>
        <v>0</v>
      </c>
      <c r="I19" s="208">
        <v>0</v>
      </c>
      <c r="J19" s="218">
        <f t="shared" ref="J19:J24" si="2">I19-(I19*H19)</f>
        <v>0</v>
      </c>
      <c r="K19" s="209">
        <f>IF(G19&gt;0,VLOOKUP(G19,RiduzioniUD!$B$2:$C$3,2),0)</f>
        <v>0</v>
      </c>
      <c r="L19" s="219">
        <v>0</v>
      </c>
      <c r="M19" s="220">
        <f t="shared" ref="M19:M24" si="3">L19-(L19*K19)</f>
        <v>0</v>
      </c>
    </row>
    <row r="20" spans="1:13" x14ac:dyDescent="0.25">
      <c r="A20" s="486"/>
      <c r="B20" s="210" t="s">
        <v>22</v>
      </c>
      <c r="C20" s="211" t="b">
        <v>1</v>
      </c>
      <c r="D20" s="212" t="s">
        <v>17</v>
      </c>
      <c r="E20" s="212" t="s">
        <v>18</v>
      </c>
      <c r="F20" s="212" t="s">
        <v>19</v>
      </c>
      <c r="G20" s="213"/>
      <c r="H20" s="214">
        <f>IF(G20&gt;0,VLOOKUP(G20,RiduzioniUD!$B$2:$C$3,2),0)</f>
        <v>0</v>
      </c>
      <c r="I20" s="215">
        <v>0</v>
      </c>
      <c r="J20" s="221">
        <f t="shared" si="2"/>
        <v>0</v>
      </c>
      <c r="K20" s="216">
        <f>IF(G20&gt;0,VLOOKUP(G20,RiduzioniUD!$B$2:$C$3,2),0)</f>
        <v>0</v>
      </c>
      <c r="L20" s="222">
        <v>0</v>
      </c>
      <c r="M20" s="223">
        <f t="shared" si="3"/>
        <v>0</v>
      </c>
    </row>
    <row r="21" spans="1:13" x14ac:dyDescent="0.25">
      <c r="A21" s="486"/>
      <c r="B21" s="210" t="s">
        <v>22</v>
      </c>
      <c r="C21" s="211"/>
      <c r="D21" s="212" t="s">
        <v>20</v>
      </c>
      <c r="E21" s="212" t="s">
        <v>21</v>
      </c>
      <c r="F21" s="212" t="s">
        <v>19</v>
      </c>
      <c r="G21" s="213"/>
      <c r="H21" s="217">
        <v>1</v>
      </c>
      <c r="I21" s="215">
        <v>0</v>
      </c>
      <c r="J21" s="231">
        <f t="shared" si="2"/>
        <v>0</v>
      </c>
      <c r="K21" s="216">
        <f>IF(G21&gt;0,VLOOKUP(G21,RiduzioniUD!$B$2:$C$3,2),0)</f>
        <v>0</v>
      </c>
      <c r="L21" s="222">
        <v>0</v>
      </c>
      <c r="M21" s="223">
        <f t="shared" si="3"/>
        <v>0</v>
      </c>
    </row>
    <row r="22" spans="1:13" x14ac:dyDescent="0.25">
      <c r="A22" s="486"/>
      <c r="B22" s="210" t="s">
        <v>22</v>
      </c>
      <c r="C22" s="211" t="b">
        <v>1</v>
      </c>
      <c r="D22" s="212" t="s">
        <v>20</v>
      </c>
      <c r="E22" s="212" t="s">
        <v>21</v>
      </c>
      <c r="F22" s="212" t="s">
        <v>19</v>
      </c>
      <c r="G22" s="213"/>
      <c r="H22" s="217">
        <v>1</v>
      </c>
      <c r="I22" s="215">
        <v>0</v>
      </c>
      <c r="J22" s="231">
        <f t="shared" si="2"/>
        <v>0</v>
      </c>
      <c r="K22" s="216">
        <f>IF(G22&gt;0,VLOOKUP(G22,RiduzioniUD!$B$2:$C$3,2),0)</f>
        <v>0</v>
      </c>
      <c r="L22" s="222">
        <v>0</v>
      </c>
      <c r="M22" s="223">
        <f t="shared" si="3"/>
        <v>0</v>
      </c>
    </row>
    <row r="23" spans="1:13" x14ac:dyDescent="0.25">
      <c r="A23" s="486"/>
      <c r="B23" s="237" t="s">
        <v>16</v>
      </c>
      <c r="C23" s="238"/>
      <c r="D23" s="239" t="s">
        <v>17</v>
      </c>
      <c r="E23" s="239" t="s">
        <v>18</v>
      </c>
      <c r="F23" s="239" t="s">
        <v>19</v>
      </c>
      <c r="G23" s="243"/>
      <c r="H23" s="244">
        <f>IF(G23&gt;0,VLOOKUP(G23,RiduzioniUD!$B$2:$C$3,2),0)</f>
        <v>0</v>
      </c>
      <c r="I23" s="245">
        <v>0</v>
      </c>
      <c r="J23" s="251">
        <f t="shared" si="2"/>
        <v>0</v>
      </c>
      <c r="K23" s="249">
        <f>IF(G23&gt;0,VLOOKUP(G23,RiduzioniUD!$B$2:$C$3,2),0)</f>
        <v>0</v>
      </c>
      <c r="L23" s="222">
        <v>0</v>
      </c>
      <c r="M23" s="223">
        <f t="shared" si="3"/>
        <v>0</v>
      </c>
    </row>
    <row r="24" spans="1:13" x14ac:dyDescent="0.25">
      <c r="A24" s="486"/>
      <c r="B24" s="240" t="s">
        <v>16</v>
      </c>
      <c r="C24" s="241"/>
      <c r="D24" s="242" t="s">
        <v>20</v>
      </c>
      <c r="E24" s="242" t="s">
        <v>21</v>
      </c>
      <c r="F24" s="242" t="s">
        <v>19</v>
      </c>
      <c r="G24" s="246"/>
      <c r="H24" s="247">
        <v>1</v>
      </c>
      <c r="I24" s="248">
        <v>0</v>
      </c>
      <c r="J24" s="232">
        <f t="shared" si="2"/>
        <v>0</v>
      </c>
      <c r="K24" s="250">
        <f>IF(G24&gt;0,VLOOKUP(G24,RiduzioniUD!$B$2:$C$3,2),0)</f>
        <v>0</v>
      </c>
      <c r="L24" s="224">
        <v>0</v>
      </c>
      <c r="M24" s="225">
        <f t="shared" si="3"/>
        <v>0</v>
      </c>
    </row>
    <row r="25" spans="1:13" ht="15.75" thickBot="1" x14ac:dyDescent="0.3">
      <c r="A25" s="487"/>
      <c r="B25" s="480" t="s">
        <v>35</v>
      </c>
      <c r="C25" s="481"/>
      <c r="D25" s="481"/>
      <c r="E25" s="481"/>
      <c r="F25" s="481"/>
      <c r="G25" s="481"/>
      <c r="H25" s="481"/>
      <c r="I25" s="230">
        <f>SUM(I19:I22)</f>
        <v>0</v>
      </c>
      <c r="J25" s="352">
        <f>SUM(J19:J24)</f>
        <v>0</v>
      </c>
      <c r="K25" s="228"/>
      <c r="L25" s="353">
        <f>SUM(L19:L24)</f>
        <v>0</v>
      </c>
      <c r="M25" s="354">
        <f>SUM(M19:M24)</f>
        <v>0</v>
      </c>
    </row>
    <row r="26" spans="1:13" ht="15.75" thickBot="1" x14ac:dyDescent="0.3">
      <c r="B26" s="191"/>
      <c r="D26" s="191"/>
      <c r="E26" s="191"/>
      <c r="F26" s="191"/>
      <c r="G26" s="194"/>
      <c r="H26" s="200"/>
    </row>
    <row r="27" spans="1:13" x14ac:dyDescent="0.25">
      <c r="A27" s="477" t="s">
        <v>30</v>
      </c>
      <c r="B27" s="203" t="s">
        <v>22</v>
      </c>
      <c r="C27" s="204"/>
      <c r="D27" s="205" t="s">
        <v>17</v>
      </c>
      <c r="E27" s="205" t="s">
        <v>18</v>
      </c>
      <c r="F27" s="205" t="s">
        <v>19</v>
      </c>
      <c r="G27" s="206"/>
      <c r="H27" s="207">
        <f>IF(G27&gt;0,VLOOKUP(G27,RiduzioniUD!$B$2:$C$3,2),0)</f>
        <v>0</v>
      </c>
      <c r="I27" s="208">
        <v>0</v>
      </c>
      <c r="J27" s="218">
        <f t="shared" ref="J27:J32" si="4">I27-(I27*H27)</f>
        <v>0</v>
      </c>
      <c r="K27" s="209">
        <f>IF(G27&gt;0,VLOOKUP(G27,RiduzioniUD!$B$2:$C$3,2),0)</f>
        <v>0</v>
      </c>
      <c r="L27" s="219">
        <v>0</v>
      </c>
      <c r="M27" s="220">
        <f t="shared" ref="M27:M32" si="5">L27-(L27*K27)</f>
        <v>0</v>
      </c>
    </row>
    <row r="28" spans="1:13" x14ac:dyDescent="0.25">
      <c r="A28" s="478"/>
      <c r="B28" s="210" t="s">
        <v>22</v>
      </c>
      <c r="C28" s="211" t="b">
        <v>1</v>
      </c>
      <c r="D28" s="212" t="s">
        <v>17</v>
      </c>
      <c r="E28" s="212" t="s">
        <v>18</v>
      </c>
      <c r="F28" s="212" t="s">
        <v>19</v>
      </c>
      <c r="G28" s="213"/>
      <c r="H28" s="214">
        <f>IF(G28&gt;0,VLOOKUP(G28,RiduzioniUD!$B$2:$C$3,2),0)</f>
        <v>0</v>
      </c>
      <c r="I28" s="215">
        <v>0</v>
      </c>
      <c r="J28" s="221">
        <f t="shared" si="4"/>
        <v>0</v>
      </c>
      <c r="K28" s="216">
        <f>IF(G28&gt;0,VLOOKUP(G28,RiduzioniUD!$B$2:$C$3,2),0)</f>
        <v>0</v>
      </c>
      <c r="L28" s="222">
        <v>0</v>
      </c>
      <c r="M28" s="223">
        <f t="shared" si="5"/>
        <v>0</v>
      </c>
    </row>
    <row r="29" spans="1:13" x14ac:dyDescent="0.25">
      <c r="A29" s="478"/>
      <c r="B29" s="210" t="s">
        <v>22</v>
      </c>
      <c r="C29" s="211"/>
      <c r="D29" s="212" t="s">
        <v>20</v>
      </c>
      <c r="E29" s="212" t="s">
        <v>21</v>
      </c>
      <c r="F29" s="212" t="s">
        <v>19</v>
      </c>
      <c r="G29" s="213"/>
      <c r="H29" s="217">
        <v>1</v>
      </c>
      <c r="I29" s="215">
        <v>0</v>
      </c>
      <c r="J29" s="231">
        <f t="shared" si="4"/>
        <v>0</v>
      </c>
      <c r="K29" s="216">
        <f>IF(G29&gt;0,VLOOKUP(G29,RiduzioniUD!$B$2:$C$3,2),0)</f>
        <v>0</v>
      </c>
      <c r="L29" s="222">
        <v>0</v>
      </c>
      <c r="M29" s="223">
        <f t="shared" si="5"/>
        <v>0</v>
      </c>
    </row>
    <row r="30" spans="1:13" x14ac:dyDescent="0.25">
      <c r="A30" s="478"/>
      <c r="B30" s="210" t="s">
        <v>22</v>
      </c>
      <c r="C30" s="211" t="b">
        <v>1</v>
      </c>
      <c r="D30" s="212" t="s">
        <v>20</v>
      </c>
      <c r="E30" s="212" t="s">
        <v>21</v>
      </c>
      <c r="F30" s="212" t="s">
        <v>19</v>
      </c>
      <c r="G30" s="213"/>
      <c r="H30" s="217">
        <v>1</v>
      </c>
      <c r="I30" s="215">
        <v>0</v>
      </c>
      <c r="J30" s="231">
        <f t="shared" si="4"/>
        <v>0</v>
      </c>
      <c r="K30" s="216">
        <f>IF(G30&gt;0,VLOOKUP(G30,RiduzioniUD!$B$2:$C$3,2),0)</f>
        <v>0</v>
      </c>
      <c r="L30" s="222">
        <v>0</v>
      </c>
      <c r="M30" s="223">
        <f t="shared" si="5"/>
        <v>0</v>
      </c>
    </row>
    <row r="31" spans="1:13" x14ac:dyDescent="0.25">
      <c r="A31" s="478"/>
      <c r="B31" s="237" t="s">
        <v>16</v>
      </c>
      <c r="C31" s="238"/>
      <c r="D31" s="239" t="s">
        <v>17</v>
      </c>
      <c r="E31" s="239" t="s">
        <v>18</v>
      </c>
      <c r="F31" s="239" t="s">
        <v>19</v>
      </c>
      <c r="G31" s="243"/>
      <c r="H31" s="244">
        <f>IF(G31&gt;0,VLOOKUP(G31,RiduzioniUD!$B$2:$C$3,2),0)</f>
        <v>0</v>
      </c>
      <c r="I31" s="245">
        <v>0</v>
      </c>
      <c r="J31" s="251">
        <f t="shared" si="4"/>
        <v>0</v>
      </c>
      <c r="K31" s="249">
        <f>IF(G31&gt;0,VLOOKUP(G31,RiduzioniUD!$B$2:$C$3,2),0)</f>
        <v>0</v>
      </c>
      <c r="L31" s="222">
        <v>0</v>
      </c>
      <c r="M31" s="223">
        <f t="shared" si="5"/>
        <v>0</v>
      </c>
    </row>
    <row r="32" spans="1:13" x14ac:dyDescent="0.25">
      <c r="A32" s="478"/>
      <c r="B32" s="240" t="s">
        <v>16</v>
      </c>
      <c r="C32" s="241"/>
      <c r="D32" s="242" t="s">
        <v>20</v>
      </c>
      <c r="E32" s="242" t="s">
        <v>21</v>
      </c>
      <c r="F32" s="242" t="s">
        <v>19</v>
      </c>
      <c r="G32" s="246"/>
      <c r="H32" s="247">
        <v>1</v>
      </c>
      <c r="I32" s="248">
        <v>0</v>
      </c>
      <c r="J32" s="232">
        <f t="shared" si="4"/>
        <v>0</v>
      </c>
      <c r="K32" s="250">
        <f>IF(G32&gt;0,VLOOKUP(G32,RiduzioniUD!$B$2:$C$3,2),0)</f>
        <v>0</v>
      </c>
      <c r="L32" s="224">
        <v>0</v>
      </c>
      <c r="M32" s="225">
        <f t="shared" si="5"/>
        <v>0</v>
      </c>
    </row>
    <row r="33" spans="1:13" ht="15.75" thickBot="1" x14ac:dyDescent="0.3">
      <c r="A33" s="479"/>
      <c r="B33" s="480" t="s">
        <v>36</v>
      </c>
      <c r="C33" s="481"/>
      <c r="D33" s="481"/>
      <c r="E33" s="481"/>
      <c r="F33" s="481"/>
      <c r="G33" s="481"/>
      <c r="H33" s="481"/>
      <c r="I33" s="230">
        <f>SUM(I27:I30)</f>
        <v>0</v>
      </c>
      <c r="J33" s="351">
        <f>SUM(J27:J32)</f>
        <v>0</v>
      </c>
      <c r="K33" s="201"/>
      <c r="L33" s="349">
        <f>SUM(L27:L32)</f>
        <v>0</v>
      </c>
      <c r="M33" s="350">
        <f>SUM(M27:M32)</f>
        <v>0</v>
      </c>
    </row>
    <row r="34" spans="1:13" ht="15.75" thickBot="1" x14ac:dyDescent="0.3">
      <c r="B34" s="191"/>
      <c r="D34" s="191"/>
      <c r="E34" s="191"/>
      <c r="F34" s="191"/>
      <c r="G34" s="194"/>
      <c r="H34" s="200"/>
    </row>
    <row r="35" spans="1:13" x14ac:dyDescent="0.25">
      <c r="A35" s="477" t="s">
        <v>31</v>
      </c>
      <c r="B35" s="203" t="s">
        <v>22</v>
      </c>
      <c r="C35" s="204"/>
      <c r="D35" s="205" t="s">
        <v>17</v>
      </c>
      <c r="E35" s="205" t="s">
        <v>18</v>
      </c>
      <c r="F35" s="205" t="s">
        <v>19</v>
      </c>
      <c r="G35" s="206"/>
      <c r="H35" s="207">
        <f>IF(G35&gt;0,VLOOKUP(G35,RiduzioniUD!$B$2:$C$3,2),0)</f>
        <v>0</v>
      </c>
      <c r="I35" s="208">
        <v>0</v>
      </c>
      <c r="J35" s="218">
        <f t="shared" ref="J35:J40" si="6">I35-(I35*H35)</f>
        <v>0</v>
      </c>
      <c r="K35" s="209">
        <f>IF(G35&gt;0,VLOOKUP(G35,RiduzioniUD!$B$2:$C$3,2),0)</f>
        <v>0</v>
      </c>
      <c r="L35" s="219">
        <v>0</v>
      </c>
      <c r="M35" s="220">
        <f t="shared" ref="M35:M40" si="7">L35-(L35*K35)</f>
        <v>0</v>
      </c>
    </row>
    <row r="36" spans="1:13" x14ac:dyDescent="0.25">
      <c r="A36" s="478"/>
      <c r="B36" s="210" t="s">
        <v>22</v>
      </c>
      <c r="C36" s="211" t="b">
        <v>1</v>
      </c>
      <c r="D36" s="212" t="s">
        <v>17</v>
      </c>
      <c r="E36" s="212" t="s">
        <v>18</v>
      </c>
      <c r="F36" s="212" t="s">
        <v>19</v>
      </c>
      <c r="G36" s="213"/>
      <c r="H36" s="214">
        <f>IF(G36&gt;0,VLOOKUP(G36,RiduzioniUD!$B$2:$C$3,2),0)</f>
        <v>0</v>
      </c>
      <c r="I36" s="215">
        <v>0</v>
      </c>
      <c r="J36" s="221">
        <f t="shared" si="6"/>
        <v>0</v>
      </c>
      <c r="K36" s="216">
        <f>IF(G36&gt;0,VLOOKUP(G36,RiduzioniUD!$B$2:$C$3,2),0)</f>
        <v>0</v>
      </c>
      <c r="L36" s="222">
        <v>0</v>
      </c>
      <c r="M36" s="223">
        <f t="shared" si="7"/>
        <v>0</v>
      </c>
    </row>
    <row r="37" spans="1:13" x14ac:dyDescent="0.25">
      <c r="A37" s="478"/>
      <c r="B37" s="210" t="s">
        <v>22</v>
      </c>
      <c r="C37" s="211"/>
      <c r="D37" s="212" t="s">
        <v>20</v>
      </c>
      <c r="E37" s="212" t="s">
        <v>21</v>
      </c>
      <c r="F37" s="212" t="s">
        <v>19</v>
      </c>
      <c r="G37" s="213"/>
      <c r="H37" s="217">
        <v>1</v>
      </c>
      <c r="I37" s="215">
        <v>0</v>
      </c>
      <c r="J37" s="231">
        <f t="shared" si="6"/>
        <v>0</v>
      </c>
      <c r="K37" s="216">
        <f>IF(G37&gt;0,VLOOKUP(G37,RiduzioniUD!$B$2:$C$3,2),0)</f>
        <v>0</v>
      </c>
      <c r="L37" s="222">
        <v>0</v>
      </c>
      <c r="M37" s="223">
        <f t="shared" si="7"/>
        <v>0</v>
      </c>
    </row>
    <row r="38" spans="1:13" x14ac:dyDescent="0.25">
      <c r="A38" s="478"/>
      <c r="B38" s="210" t="s">
        <v>22</v>
      </c>
      <c r="C38" s="211" t="b">
        <v>1</v>
      </c>
      <c r="D38" s="212" t="s">
        <v>20</v>
      </c>
      <c r="E38" s="212" t="s">
        <v>21</v>
      </c>
      <c r="F38" s="212" t="s">
        <v>19</v>
      </c>
      <c r="G38" s="213"/>
      <c r="H38" s="217">
        <v>1</v>
      </c>
      <c r="I38" s="215">
        <v>0</v>
      </c>
      <c r="J38" s="231">
        <f t="shared" si="6"/>
        <v>0</v>
      </c>
      <c r="K38" s="216">
        <f>IF(G38&gt;0,VLOOKUP(G38,RiduzioniUD!$B$2:$C$3,2),0)</f>
        <v>0</v>
      </c>
      <c r="L38" s="222">
        <v>0</v>
      </c>
      <c r="M38" s="223">
        <f t="shared" si="7"/>
        <v>0</v>
      </c>
    </row>
    <row r="39" spans="1:13" x14ac:dyDescent="0.25">
      <c r="A39" s="478"/>
      <c r="B39" s="237" t="s">
        <v>16</v>
      </c>
      <c r="C39" s="238"/>
      <c r="D39" s="239" t="s">
        <v>17</v>
      </c>
      <c r="E39" s="239" t="s">
        <v>18</v>
      </c>
      <c r="F39" s="239" t="s">
        <v>19</v>
      </c>
      <c r="G39" s="243"/>
      <c r="H39" s="244">
        <f>IF(G39&gt;0,VLOOKUP(G39,RiduzioniUD!$B$2:$C$3,2),0)</f>
        <v>0</v>
      </c>
      <c r="I39" s="245">
        <v>0</v>
      </c>
      <c r="J39" s="251">
        <f t="shared" si="6"/>
        <v>0</v>
      </c>
      <c r="K39" s="249">
        <f>IF(G39&gt;0,VLOOKUP(G39,RiduzioniUD!$B$2:$C$3,2),0)</f>
        <v>0</v>
      </c>
      <c r="L39" s="222">
        <v>0</v>
      </c>
      <c r="M39" s="223">
        <f t="shared" si="7"/>
        <v>0</v>
      </c>
    </row>
    <row r="40" spans="1:13" x14ac:dyDescent="0.25">
      <c r="A40" s="478"/>
      <c r="B40" s="240" t="s">
        <v>16</v>
      </c>
      <c r="C40" s="241"/>
      <c r="D40" s="242" t="s">
        <v>20</v>
      </c>
      <c r="E40" s="242" t="s">
        <v>21</v>
      </c>
      <c r="F40" s="242" t="s">
        <v>19</v>
      </c>
      <c r="G40" s="246"/>
      <c r="H40" s="247">
        <v>1</v>
      </c>
      <c r="I40" s="248">
        <v>0</v>
      </c>
      <c r="J40" s="232">
        <f t="shared" si="6"/>
        <v>0</v>
      </c>
      <c r="K40" s="250">
        <f>IF(G40&gt;0,VLOOKUP(G40,RiduzioniUD!$B$2:$C$3,2),0)</f>
        <v>0</v>
      </c>
      <c r="L40" s="224">
        <v>0</v>
      </c>
      <c r="M40" s="225">
        <f t="shared" si="7"/>
        <v>0</v>
      </c>
    </row>
    <row r="41" spans="1:13" ht="15.75" thickBot="1" x14ac:dyDescent="0.3">
      <c r="A41" s="479"/>
      <c r="B41" s="480" t="s">
        <v>37</v>
      </c>
      <c r="C41" s="481"/>
      <c r="D41" s="481"/>
      <c r="E41" s="481"/>
      <c r="F41" s="481"/>
      <c r="G41" s="481"/>
      <c r="H41" s="481"/>
      <c r="I41" s="230">
        <f t="shared" ref="I41" si="8">SUM(I34:I38)</f>
        <v>0</v>
      </c>
      <c r="J41" s="351">
        <f>SUM(J35:J40)</f>
        <v>0</v>
      </c>
      <c r="K41" s="201"/>
      <c r="L41" s="349">
        <f>SUM(L35:L40)</f>
        <v>0</v>
      </c>
      <c r="M41" s="350">
        <f>SUM(M35:M40)</f>
        <v>0</v>
      </c>
    </row>
    <row r="42" spans="1:13" ht="15.75" thickBot="1" x14ac:dyDescent="0.3">
      <c r="B42" s="191"/>
      <c r="D42" s="191"/>
      <c r="E42" s="191"/>
      <c r="F42" s="191"/>
      <c r="G42" s="194"/>
      <c r="H42" s="200"/>
    </row>
    <row r="43" spans="1:13" x14ac:dyDescent="0.25">
      <c r="A43" s="477" t="s">
        <v>33</v>
      </c>
      <c r="B43" s="203" t="s">
        <v>22</v>
      </c>
      <c r="C43" s="204"/>
      <c r="D43" s="205" t="s">
        <v>17</v>
      </c>
      <c r="E43" s="205" t="s">
        <v>18</v>
      </c>
      <c r="F43" s="205" t="s">
        <v>19</v>
      </c>
      <c r="G43" s="206"/>
      <c r="H43" s="207">
        <f>IF(G43&gt;0,VLOOKUP(G43,RiduzioniUD!$B$2:$C$3,2),0)</f>
        <v>0</v>
      </c>
      <c r="I43" s="208">
        <v>0</v>
      </c>
      <c r="J43" s="218">
        <f t="shared" ref="J43:J48" si="9">I43-(I43*H43)</f>
        <v>0</v>
      </c>
      <c r="K43" s="209">
        <f>IF(G43&gt;0,VLOOKUP(G43,RiduzioniUD!$B$2:$C$3,2),0)</f>
        <v>0</v>
      </c>
      <c r="L43" s="219">
        <v>0</v>
      </c>
      <c r="M43" s="220">
        <f t="shared" ref="M43:M48" si="10">L43-(L43*K43)</f>
        <v>0</v>
      </c>
    </row>
    <row r="44" spans="1:13" x14ac:dyDescent="0.25">
      <c r="A44" s="478"/>
      <c r="B44" s="210" t="s">
        <v>22</v>
      </c>
      <c r="C44" s="211" t="b">
        <v>1</v>
      </c>
      <c r="D44" s="212" t="s">
        <v>17</v>
      </c>
      <c r="E44" s="212" t="s">
        <v>18</v>
      </c>
      <c r="F44" s="212" t="s">
        <v>19</v>
      </c>
      <c r="G44" s="213"/>
      <c r="H44" s="214">
        <f>IF(G44&gt;0,VLOOKUP(G44,RiduzioniUD!$B$2:$C$3,2),0)</f>
        <v>0</v>
      </c>
      <c r="I44" s="215">
        <v>0</v>
      </c>
      <c r="J44" s="221">
        <f t="shared" si="9"/>
        <v>0</v>
      </c>
      <c r="K44" s="216">
        <f>IF(G44&gt;0,VLOOKUP(G44,RiduzioniUD!$B$2:$C$3,2),0)</f>
        <v>0</v>
      </c>
      <c r="L44" s="222">
        <v>0</v>
      </c>
      <c r="M44" s="223">
        <f t="shared" si="10"/>
        <v>0</v>
      </c>
    </row>
    <row r="45" spans="1:13" x14ac:dyDescent="0.25">
      <c r="A45" s="478"/>
      <c r="B45" s="210" t="s">
        <v>22</v>
      </c>
      <c r="C45" s="211"/>
      <c r="D45" s="212" t="s">
        <v>20</v>
      </c>
      <c r="E45" s="212" t="s">
        <v>21</v>
      </c>
      <c r="F45" s="212" t="s">
        <v>19</v>
      </c>
      <c r="G45" s="213"/>
      <c r="H45" s="217">
        <v>1</v>
      </c>
      <c r="I45" s="215">
        <v>0</v>
      </c>
      <c r="J45" s="231">
        <f t="shared" si="9"/>
        <v>0</v>
      </c>
      <c r="K45" s="216">
        <f>IF(G45&gt;0,VLOOKUP(G45,RiduzioniUD!$B$2:$C$3,2),0)</f>
        <v>0</v>
      </c>
      <c r="L45" s="222">
        <v>0</v>
      </c>
      <c r="M45" s="223">
        <f t="shared" si="10"/>
        <v>0</v>
      </c>
    </row>
    <row r="46" spans="1:13" x14ac:dyDescent="0.25">
      <c r="A46" s="478"/>
      <c r="B46" s="210" t="s">
        <v>22</v>
      </c>
      <c r="C46" s="211" t="b">
        <v>1</v>
      </c>
      <c r="D46" s="212" t="s">
        <v>20</v>
      </c>
      <c r="E46" s="212" t="s">
        <v>21</v>
      </c>
      <c r="F46" s="212" t="s">
        <v>19</v>
      </c>
      <c r="G46" s="213"/>
      <c r="H46" s="217">
        <v>1</v>
      </c>
      <c r="I46" s="215">
        <v>0</v>
      </c>
      <c r="J46" s="231">
        <f t="shared" si="9"/>
        <v>0</v>
      </c>
      <c r="K46" s="216">
        <f>IF(G46&gt;0,VLOOKUP(G46,RiduzioniUD!$B$2:$C$3,2),0)</f>
        <v>0</v>
      </c>
      <c r="L46" s="222">
        <v>0</v>
      </c>
      <c r="M46" s="223">
        <f t="shared" si="10"/>
        <v>0</v>
      </c>
    </row>
    <row r="47" spans="1:13" x14ac:dyDescent="0.25">
      <c r="A47" s="478"/>
      <c r="B47" s="237" t="s">
        <v>16</v>
      </c>
      <c r="C47" s="238"/>
      <c r="D47" s="239" t="s">
        <v>17</v>
      </c>
      <c r="E47" s="239" t="s">
        <v>18</v>
      </c>
      <c r="F47" s="239" t="s">
        <v>19</v>
      </c>
      <c r="G47" s="243"/>
      <c r="H47" s="244">
        <f>IF(G47&gt;0,VLOOKUP(G47,RiduzioniUD!$B$2:$C$3,2),0)</f>
        <v>0</v>
      </c>
      <c r="I47" s="245">
        <v>0</v>
      </c>
      <c r="J47" s="251">
        <f t="shared" si="9"/>
        <v>0</v>
      </c>
      <c r="K47" s="249">
        <f>IF(G47&gt;0,VLOOKUP(G47,RiduzioniUD!$B$2:$C$3,2),0)</f>
        <v>0</v>
      </c>
      <c r="L47" s="222">
        <v>0</v>
      </c>
      <c r="M47" s="223">
        <f t="shared" si="10"/>
        <v>0</v>
      </c>
    </row>
    <row r="48" spans="1:13" x14ac:dyDescent="0.25">
      <c r="A48" s="478"/>
      <c r="B48" s="240" t="s">
        <v>16</v>
      </c>
      <c r="C48" s="241"/>
      <c r="D48" s="242" t="s">
        <v>20</v>
      </c>
      <c r="E48" s="242" t="s">
        <v>21</v>
      </c>
      <c r="F48" s="242" t="s">
        <v>19</v>
      </c>
      <c r="G48" s="246"/>
      <c r="H48" s="247">
        <v>1</v>
      </c>
      <c r="I48" s="245">
        <v>0</v>
      </c>
      <c r="J48" s="251">
        <f t="shared" si="9"/>
        <v>0</v>
      </c>
      <c r="K48" s="249">
        <f>IF(G48&gt;0,VLOOKUP(G48,RiduzioniUD!$B$2:$C$3,2),0)</f>
        <v>0</v>
      </c>
      <c r="L48" s="222">
        <v>0</v>
      </c>
      <c r="M48" s="223">
        <f t="shared" si="10"/>
        <v>0</v>
      </c>
    </row>
    <row r="49" spans="1:13" ht="15.75" thickBot="1" x14ac:dyDescent="0.3">
      <c r="A49" s="479"/>
      <c r="B49" s="480" t="s">
        <v>38</v>
      </c>
      <c r="C49" s="481"/>
      <c r="D49" s="481"/>
      <c r="E49" s="481"/>
      <c r="F49" s="481"/>
      <c r="G49" s="481"/>
      <c r="H49" s="481"/>
      <c r="I49" s="230">
        <f>SUM(I43:I46)</f>
        <v>0</v>
      </c>
      <c r="J49" s="351">
        <f>SUM(J43:J48)</f>
        <v>0</v>
      </c>
      <c r="K49" s="201"/>
      <c r="L49" s="349">
        <f>SUM(L43:L48)</f>
        <v>0</v>
      </c>
      <c r="M49" s="350">
        <f>SUM(M43:M48)</f>
        <v>0</v>
      </c>
    </row>
    <row r="50" spans="1:13" ht="15.75" thickBot="1" x14ac:dyDescent="0.3">
      <c r="B50" s="191"/>
      <c r="D50" s="191"/>
      <c r="E50" s="191"/>
      <c r="F50" s="191"/>
      <c r="G50" s="233"/>
      <c r="H50" s="234"/>
      <c r="I50" s="235"/>
    </row>
    <row r="51" spans="1:13" ht="15" customHeight="1" x14ac:dyDescent="0.25">
      <c r="A51" s="477" t="s">
        <v>32</v>
      </c>
      <c r="B51" s="203" t="s">
        <v>22</v>
      </c>
      <c r="C51" s="204"/>
      <c r="D51" s="205" t="s">
        <v>17</v>
      </c>
      <c r="E51" s="205" t="s">
        <v>18</v>
      </c>
      <c r="F51" s="205" t="s">
        <v>19</v>
      </c>
      <c r="G51" s="206"/>
      <c r="H51" s="207">
        <f>IF(G51&gt;0,VLOOKUP(G51,RiduzioniUD!$B$2:$C$3,2),0)</f>
        <v>0</v>
      </c>
      <c r="I51" s="208">
        <v>0</v>
      </c>
      <c r="J51" s="218">
        <f t="shared" ref="J51:J66" si="11">I51-(I51*H51)</f>
        <v>0</v>
      </c>
      <c r="K51" s="209">
        <f>IF(G51&gt;0,VLOOKUP(G51,RiduzioniUD!$B$2:$C$3,2),0)</f>
        <v>0</v>
      </c>
      <c r="L51" s="219">
        <v>0</v>
      </c>
      <c r="M51" s="220">
        <f>L51-(L51*K51)</f>
        <v>0</v>
      </c>
    </row>
    <row r="52" spans="1:13" x14ac:dyDescent="0.25">
      <c r="A52" s="478"/>
      <c r="B52" s="210" t="s">
        <v>22</v>
      </c>
      <c r="C52" s="211" t="b">
        <v>1</v>
      </c>
      <c r="D52" s="212" t="s">
        <v>17</v>
      </c>
      <c r="E52" s="212" t="s">
        <v>18</v>
      </c>
      <c r="F52" s="212" t="s">
        <v>19</v>
      </c>
      <c r="G52" s="213"/>
      <c r="H52" s="214">
        <f>IF(G52&gt;0,VLOOKUP(G52,RiduzioniUD!$B$2:$C$3,2),0)</f>
        <v>0</v>
      </c>
      <c r="I52" s="215">
        <v>0</v>
      </c>
      <c r="J52" s="221">
        <f t="shared" si="11"/>
        <v>0</v>
      </c>
      <c r="K52" s="216">
        <f>IF(G52&gt;0,VLOOKUP(G52,RiduzioniUD!$B$2:$C$3,2),0)</f>
        <v>0</v>
      </c>
      <c r="L52" s="222">
        <v>0</v>
      </c>
      <c r="M52" s="223">
        <f t="shared" ref="M52:M68" si="12">L52-(L52*K52)</f>
        <v>0</v>
      </c>
    </row>
    <row r="53" spans="1:13" x14ac:dyDescent="0.25">
      <c r="A53" s="478"/>
      <c r="B53" s="210" t="s">
        <v>22</v>
      </c>
      <c r="C53" s="211"/>
      <c r="D53" s="212" t="s">
        <v>17</v>
      </c>
      <c r="E53" s="212" t="s">
        <v>18</v>
      </c>
      <c r="F53" s="212" t="s">
        <v>19</v>
      </c>
      <c r="G53" s="213"/>
      <c r="H53" s="214">
        <f>IF(G53&gt;0,VLOOKUP(G53,RiduzioniUD!$B$2:$C$3,2),0)</f>
        <v>0</v>
      </c>
      <c r="I53" s="215">
        <v>0</v>
      </c>
      <c r="J53" s="221">
        <f t="shared" si="11"/>
        <v>0</v>
      </c>
      <c r="K53" s="216">
        <f>IF(G53&gt;0,VLOOKUP(G53,RiduzioniUD!$B$2:$C$3,2),0)</f>
        <v>0</v>
      </c>
      <c r="L53" s="222">
        <v>0</v>
      </c>
      <c r="M53" s="223">
        <f t="shared" si="12"/>
        <v>0</v>
      </c>
    </row>
    <row r="54" spans="1:13" x14ac:dyDescent="0.25">
      <c r="A54" s="478"/>
      <c r="B54" s="210" t="s">
        <v>22</v>
      </c>
      <c r="C54" s="211"/>
      <c r="D54" s="212" t="s">
        <v>17</v>
      </c>
      <c r="E54" s="212" t="s">
        <v>18</v>
      </c>
      <c r="F54" s="212" t="s">
        <v>19</v>
      </c>
      <c r="G54" s="213"/>
      <c r="H54" s="214">
        <f>IF(G54&gt;0,VLOOKUP(G54,RiduzioniUD!$B$2:$C$3,2),0)</f>
        <v>0</v>
      </c>
      <c r="I54" s="215">
        <v>0</v>
      </c>
      <c r="J54" s="221">
        <f t="shared" si="11"/>
        <v>0</v>
      </c>
      <c r="K54" s="216">
        <f>IF(G54&gt;0,VLOOKUP(G54,RiduzioniUD!$B$2:$C$3,2),0)</f>
        <v>0</v>
      </c>
      <c r="L54" s="222">
        <v>0</v>
      </c>
      <c r="M54" s="223">
        <f t="shared" si="12"/>
        <v>0</v>
      </c>
    </row>
    <row r="55" spans="1:13" x14ac:dyDescent="0.25">
      <c r="A55" s="478"/>
      <c r="B55" s="210" t="s">
        <v>22</v>
      </c>
      <c r="C55" s="211"/>
      <c r="D55" s="212" t="s">
        <v>17</v>
      </c>
      <c r="E55" s="212" t="s">
        <v>18</v>
      </c>
      <c r="F55" s="212" t="s">
        <v>19</v>
      </c>
      <c r="G55" s="213"/>
      <c r="H55" s="214">
        <f>IF(G55&gt;0,VLOOKUP(G55,RiduzioniUD!$B$2:$C$3,2),0)</f>
        <v>0</v>
      </c>
      <c r="I55" s="215">
        <v>0</v>
      </c>
      <c r="J55" s="221">
        <f t="shared" si="11"/>
        <v>0</v>
      </c>
      <c r="K55" s="216">
        <f>IF(G55&gt;0,VLOOKUP(G55,RiduzioniUD!$B$2:$C$3,2),0)</f>
        <v>0</v>
      </c>
      <c r="L55" s="222">
        <v>0</v>
      </c>
      <c r="M55" s="223">
        <f t="shared" si="12"/>
        <v>0</v>
      </c>
    </row>
    <row r="56" spans="1:13" x14ac:dyDescent="0.25">
      <c r="A56" s="478"/>
      <c r="B56" s="210" t="s">
        <v>22</v>
      </c>
      <c r="C56" s="211"/>
      <c r="D56" s="212" t="s">
        <v>17</v>
      </c>
      <c r="E56" s="212" t="s">
        <v>18</v>
      </c>
      <c r="F56" s="212" t="s">
        <v>19</v>
      </c>
      <c r="G56" s="213"/>
      <c r="H56" s="214">
        <f>IF(G56&gt;0,VLOOKUP(G56,RiduzioniUD!$B$2:$C$3,2),0)</f>
        <v>0</v>
      </c>
      <c r="I56" s="215">
        <v>0</v>
      </c>
      <c r="J56" s="221">
        <f t="shared" si="11"/>
        <v>0</v>
      </c>
      <c r="K56" s="216">
        <f>IF(G56&gt;0,VLOOKUP(G56,RiduzioniUD!$B$2:$C$3,2),0)</f>
        <v>0</v>
      </c>
      <c r="L56" s="222">
        <v>0</v>
      </c>
      <c r="M56" s="223">
        <f t="shared" si="12"/>
        <v>0</v>
      </c>
    </row>
    <row r="57" spans="1:13" x14ac:dyDescent="0.25">
      <c r="A57" s="478"/>
      <c r="B57" s="210" t="s">
        <v>22</v>
      </c>
      <c r="C57" s="211"/>
      <c r="D57" s="212" t="s">
        <v>17</v>
      </c>
      <c r="E57" s="212" t="s">
        <v>18</v>
      </c>
      <c r="F57" s="212" t="s">
        <v>19</v>
      </c>
      <c r="G57" s="213"/>
      <c r="H57" s="214">
        <f>IF(G57&gt;0,VLOOKUP(G57,RiduzioniUD!$B$2:$C$3,2),0)</f>
        <v>0</v>
      </c>
      <c r="I57" s="215">
        <v>0</v>
      </c>
      <c r="J57" s="221">
        <f t="shared" si="11"/>
        <v>0</v>
      </c>
      <c r="K57" s="216">
        <f>IF(G57&gt;0,VLOOKUP(G57,RiduzioniUD!$B$2:$C$3,2),0)</f>
        <v>0</v>
      </c>
      <c r="L57" s="222">
        <v>0</v>
      </c>
      <c r="M57" s="223">
        <f t="shared" si="12"/>
        <v>0</v>
      </c>
    </row>
    <row r="58" spans="1:13" x14ac:dyDescent="0.25">
      <c r="A58" s="478"/>
      <c r="B58" s="210" t="s">
        <v>22</v>
      </c>
      <c r="C58" s="211"/>
      <c r="D58" s="212" t="s">
        <v>17</v>
      </c>
      <c r="E58" s="212" t="s">
        <v>18</v>
      </c>
      <c r="F58" s="212" t="s">
        <v>19</v>
      </c>
      <c r="G58" s="213"/>
      <c r="H58" s="214">
        <f>IF(G58&gt;0,VLOOKUP(G58,RiduzioniUD!$B$2:$C$3,2),0)</f>
        <v>0</v>
      </c>
      <c r="I58" s="215">
        <v>0</v>
      </c>
      <c r="J58" s="221">
        <f t="shared" si="11"/>
        <v>0</v>
      </c>
      <c r="K58" s="216">
        <f>IF(G58&gt;0,VLOOKUP(G58,RiduzioniUD!$B$2:$C$3,2),0)</f>
        <v>0</v>
      </c>
      <c r="L58" s="222">
        <v>0</v>
      </c>
      <c r="M58" s="223">
        <f t="shared" si="12"/>
        <v>0</v>
      </c>
    </row>
    <row r="59" spans="1:13" x14ac:dyDescent="0.25">
      <c r="A59" s="478"/>
      <c r="B59" s="210" t="s">
        <v>22</v>
      </c>
      <c r="C59" s="211"/>
      <c r="D59" s="212" t="s">
        <v>20</v>
      </c>
      <c r="E59" s="212" t="s">
        <v>21</v>
      </c>
      <c r="F59" s="212" t="s">
        <v>19</v>
      </c>
      <c r="G59" s="213"/>
      <c r="H59" s="217">
        <v>1</v>
      </c>
      <c r="I59" s="215">
        <v>0</v>
      </c>
      <c r="J59" s="231">
        <f t="shared" si="11"/>
        <v>0</v>
      </c>
      <c r="K59" s="216">
        <f>IF(G59&gt;0,VLOOKUP(G59,RiduzioniUD!$B$2:$C$3,2),0)</f>
        <v>0</v>
      </c>
      <c r="L59" s="222">
        <v>0</v>
      </c>
      <c r="M59" s="223">
        <f t="shared" si="12"/>
        <v>0</v>
      </c>
    </row>
    <row r="60" spans="1:13" x14ac:dyDescent="0.25">
      <c r="A60" s="478"/>
      <c r="B60" s="210" t="s">
        <v>22</v>
      </c>
      <c r="C60" s="211" t="b">
        <v>1</v>
      </c>
      <c r="D60" s="212" t="s">
        <v>20</v>
      </c>
      <c r="E60" s="212" t="s">
        <v>21</v>
      </c>
      <c r="F60" s="212" t="s">
        <v>19</v>
      </c>
      <c r="G60" s="213"/>
      <c r="H60" s="217">
        <v>1</v>
      </c>
      <c r="I60" s="215">
        <v>0</v>
      </c>
      <c r="J60" s="231">
        <f t="shared" si="11"/>
        <v>0</v>
      </c>
      <c r="K60" s="216">
        <f>IF(G60&gt;0,VLOOKUP(G60,RiduzioniUD!$B$2:$C$3,2),0)</f>
        <v>0</v>
      </c>
      <c r="L60" s="222">
        <v>0</v>
      </c>
      <c r="M60" s="223">
        <f t="shared" si="12"/>
        <v>0</v>
      </c>
    </row>
    <row r="61" spans="1:13" x14ac:dyDescent="0.25">
      <c r="A61" s="478"/>
      <c r="B61" s="210" t="s">
        <v>22</v>
      </c>
      <c r="C61" s="211"/>
      <c r="D61" s="212" t="s">
        <v>20</v>
      </c>
      <c r="E61" s="212" t="s">
        <v>21</v>
      </c>
      <c r="F61" s="212" t="s">
        <v>19</v>
      </c>
      <c r="G61" s="213"/>
      <c r="H61" s="217">
        <v>1</v>
      </c>
      <c r="I61" s="215">
        <v>0</v>
      </c>
      <c r="J61" s="231">
        <f t="shared" si="11"/>
        <v>0</v>
      </c>
      <c r="K61" s="216">
        <f>IF(G61&gt;0,VLOOKUP(G61,RiduzioniUD!$B$2:$C$3,2),0)</f>
        <v>0</v>
      </c>
      <c r="L61" s="222">
        <v>0</v>
      </c>
      <c r="M61" s="223">
        <f t="shared" si="12"/>
        <v>0</v>
      </c>
    </row>
    <row r="62" spans="1:13" x14ac:dyDescent="0.25">
      <c r="A62" s="478"/>
      <c r="B62" s="210" t="s">
        <v>22</v>
      </c>
      <c r="C62" s="211"/>
      <c r="D62" s="212" t="s">
        <v>20</v>
      </c>
      <c r="E62" s="212" t="s">
        <v>21</v>
      </c>
      <c r="F62" s="212" t="s">
        <v>19</v>
      </c>
      <c r="G62" s="213"/>
      <c r="H62" s="217">
        <v>1</v>
      </c>
      <c r="I62" s="215">
        <v>0</v>
      </c>
      <c r="J62" s="231">
        <f t="shared" si="11"/>
        <v>0</v>
      </c>
      <c r="K62" s="216">
        <f>IF(G62&gt;0,VLOOKUP(G62,RiduzioniUD!$B$2:$C$3,2),0)</f>
        <v>0</v>
      </c>
      <c r="L62" s="222">
        <v>0</v>
      </c>
      <c r="M62" s="223">
        <f t="shared" si="12"/>
        <v>0</v>
      </c>
    </row>
    <row r="63" spans="1:13" x14ac:dyDescent="0.25">
      <c r="A63" s="478"/>
      <c r="B63" s="210" t="s">
        <v>22</v>
      </c>
      <c r="C63" s="211"/>
      <c r="D63" s="212" t="s">
        <v>20</v>
      </c>
      <c r="E63" s="212" t="s">
        <v>21</v>
      </c>
      <c r="F63" s="212" t="s">
        <v>19</v>
      </c>
      <c r="G63" s="213"/>
      <c r="H63" s="217">
        <v>1</v>
      </c>
      <c r="I63" s="215">
        <v>0</v>
      </c>
      <c r="J63" s="231">
        <f t="shared" si="11"/>
        <v>0</v>
      </c>
      <c r="K63" s="216">
        <f>IF(G63&gt;0,VLOOKUP(G63,RiduzioniUD!$B$2:$C$3,2),0)</f>
        <v>0</v>
      </c>
      <c r="L63" s="222">
        <v>0</v>
      </c>
      <c r="M63" s="223">
        <f t="shared" si="12"/>
        <v>0</v>
      </c>
    </row>
    <row r="64" spans="1:13" x14ac:dyDescent="0.25">
      <c r="A64" s="478"/>
      <c r="B64" s="210" t="s">
        <v>22</v>
      </c>
      <c r="C64" s="211"/>
      <c r="D64" s="212" t="s">
        <v>20</v>
      </c>
      <c r="E64" s="212" t="s">
        <v>21</v>
      </c>
      <c r="F64" s="212" t="s">
        <v>19</v>
      </c>
      <c r="G64" s="213"/>
      <c r="H64" s="217">
        <v>1</v>
      </c>
      <c r="I64" s="215">
        <v>0</v>
      </c>
      <c r="J64" s="231">
        <f t="shared" si="11"/>
        <v>0</v>
      </c>
      <c r="K64" s="216">
        <f>IF(G64&gt;0,VLOOKUP(G64,RiduzioniUD!$B$2:$C$3,2),0)</f>
        <v>0</v>
      </c>
      <c r="L64" s="222">
        <v>0</v>
      </c>
      <c r="M64" s="223">
        <f t="shared" si="12"/>
        <v>0</v>
      </c>
    </row>
    <row r="65" spans="1:13" x14ac:dyDescent="0.25">
      <c r="A65" s="478"/>
      <c r="B65" s="210" t="s">
        <v>22</v>
      </c>
      <c r="C65" s="211"/>
      <c r="D65" s="212" t="s">
        <v>20</v>
      </c>
      <c r="E65" s="212" t="s">
        <v>21</v>
      </c>
      <c r="F65" s="212" t="s">
        <v>19</v>
      </c>
      <c r="G65" s="213"/>
      <c r="H65" s="217">
        <v>1</v>
      </c>
      <c r="I65" s="215">
        <v>0</v>
      </c>
      <c r="J65" s="231">
        <f t="shared" si="11"/>
        <v>0</v>
      </c>
      <c r="K65" s="216">
        <f>IF(G65&gt;0,VLOOKUP(G65,RiduzioniUD!$B$2:$C$3,2),0)</f>
        <v>0</v>
      </c>
      <c r="L65" s="222">
        <v>0</v>
      </c>
      <c r="M65" s="223">
        <f t="shared" si="12"/>
        <v>0</v>
      </c>
    </row>
    <row r="66" spans="1:13" x14ac:dyDescent="0.25">
      <c r="A66" s="478"/>
      <c r="B66" s="210" t="s">
        <v>22</v>
      </c>
      <c r="C66" s="211"/>
      <c r="D66" s="212" t="s">
        <v>20</v>
      </c>
      <c r="E66" s="212" t="s">
        <v>21</v>
      </c>
      <c r="F66" s="212" t="s">
        <v>19</v>
      </c>
      <c r="G66" s="213"/>
      <c r="H66" s="217">
        <v>1</v>
      </c>
      <c r="I66" s="215">
        <v>0</v>
      </c>
      <c r="J66" s="231">
        <f t="shared" si="11"/>
        <v>0</v>
      </c>
      <c r="K66" s="216">
        <f>IF(G66&gt;0,VLOOKUP(G66,RiduzioniUD!$B$2:$C$3,2),0)</f>
        <v>0</v>
      </c>
      <c r="L66" s="222">
        <v>0</v>
      </c>
      <c r="M66" s="223">
        <f t="shared" si="12"/>
        <v>0</v>
      </c>
    </row>
    <row r="67" spans="1:13" x14ac:dyDescent="0.25">
      <c r="A67" s="478"/>
      <c r="B67" s="237" t="s">
        <v>16</v>
      </c>
      <c r="C67" s="238"/>
      <c r="D67" s="239" t="s">
        <v>17</v>
      </c>
      <c r="E67" s="239" t="s">
        <v>18</v>
      </c>
      <c r="F67" s="239" t="s">
        <v>19</v>
      </c>
      <c r="G67" s="243"/>
      <c r="H67" s="244">
        <f>IF(G67&gt;0,VLOOKUP(G67,RiduzioniUD!$B$2:$C$3,2),0)</f>
        <v>0</v>
      </c>
      <c r="I67" s="245">
        <v>0</v>
      </c>
      <c r="J67" s="221">
        <f>I67-(I67*H67)</f>
        <v>0</v>
      </c>
      <c r="K67" s="249">
        <f>IF(G67&gt;0,VLOOKUP(G67,RiduzioniUD!$B$2:$C$3,2),0)</f>
        <v>0</v>
      </c>
      <c r="L67" s="222">
        <v>0</v>
      </c>
      <c r="M67" s="223">
        <f t="shared" si="12"/>
        <v>0</v>
      </c>
    </row>
    <row r="68" spans="1:13" x14ac:dyDescent="0.25">
      <c r="A68" s="478"/>
      <c r="B68" s="240" t="s">
        <v>16</v>
      </c>
      <c r="C68" s="241"/>
      <c r="D68" s="242" t="s">
        <v>20</v>
      </c>
      <c r="E68" s="242" t="s">
        <v>21</v>
      </c>
      <c r="F68" s="242" t="s">
        <v>19</v>
      </c>
      <c r="G68" s="246"/>
      <c r="H68" s="247">
        <v>1</v>
      </c>
      <c r="I68" s="245">
        <v>0</v>
      </c>
      <c r="J68" s="221">
        <f>I68-(I68*H68)</f>
        <v>0</v>
      </c>
      <c r="K68" s="249">
        <f>IF(G68&gt;0,VLOOKUP(G68,RiduzioniUD!$B$2:$C$3,2),0)</f>
        <v>0</v>
      </c>
      <c r="L68" s="222">
        <v>0</v>
      </c>
      <c r="M68" s="223">
        <f t="shared" si="12"/>
        <v>0</v>
      </c>
    </row>
    <row r="69" spans="1:13" ht="15.75" thickBot="1" x14ac:dyDescent="0.3">
      <c r="A69" s="479"/>
      <c r="B69" s="480" t="s">
        <v>39</v>
      </c>
      <c r="C69" s="481"/>
      <c r="D69" s="481"/>
      <c r="E69" s="481"/>
      <c r="F69" s="481"/>
      <c r="G69" s="481"/>
      <c r="H69" s="481"/>
      <c r="I69" s="230">
        <f>SUM(I51:I66)</f>
        <v>0</v>
      </c>
      <c r="J69" s="202">
        <f>SUM(J51:J66)</f>
        <v>0</v>
      </c>
      <c r="K69" s="201"/>
      <c r="L69" s="226">
        <f>SUM(L51:L66)</f>
        <v>0</v>
      </c>
      <c r="M69" s="227">
        <f>SUM(M51:M66)</f>
        <v>0</v>
      </c>
    </row>
  </sheetData>
  <mergeCells count="13">
    <mergeCell ref="N2:N8"/>
    <mergeCell ref="A10:A17"/>
    <mergeCell ref="A19:A25"/>
    <mergeCell ref="B17:H17"/>
    <mergeCell ref="B25:H25"/>
    <mergeCell ref="A51:A69"/>
    <mergeCell ref="B69:H69"/>
    <mergeCell ref="A27:A33"/>
    <mergeCell ref="B33:H33"/>
    <mergeCell ref="A35:A41"/>
    <mergeCell ref="B41:H41"/>
    <mergeCell ref="A43:A49"/>
    <mergeCell ref="B49:H49"/>
  </mergeCells>
  <phoneticPr fontId="30" type="noConversion"/>
  <pageMargins left="0.70866141732283472" right="0.70866141732283472" top="0.55118110236220474" bottom="0.55118110236220474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"/>
  <sheetViews>
    <sheetView zoomScale="85" zoomScaleNormal="85" workbookViewId="0">
      <selection activeCell="A11" sqref="A11"/>
    </sheetView>
  </sheetViews>
  <sheetFormatPr defaultRowHeight="15" x14ac:dyDescent="0.25"/>
  <cols>
    <col min="1" max="1" width="90.7109375" customWidth="1"/>
    <col min="3" max="3" width="13.140625" customWidth="1"/>
  </cols>
  <sheetData>
    <row r="1" spans="1:3" ht="19.5" customHeight="1" x14ac:dyDescent="0.25">
      <c r="A1" s="158" t="s">
        <v>205</v>
      </c>
      <c r="B1" s="158" t="s">
        <v>206</v>
      </c>
      <c r="C1" s="158" t="s">
        <v>207</v>
      </c>
    </row>
    <row r="2" spans="1:3" x14ac:dyDescent="0.25">
      <c r="A2" s="197" t="str">
        <f>'DATI INPUT'!A142:B142</f>
        <v>Unico Occupante</v>
      </c>
      <c r="B2" s="159">
        <v>1</v>
      </c>
      <c r="C2" s="163">
        <f>'DATI INPUT'!D142</f>
        <v>0</v>
      </c>
    </row>
    <row r="3" spans="1:3" x14ac:dyDescent="0.25">
      <c r="A3" s="198">
        <f>'DATI INPUT'!A143:B143</f>
        <v>0</v>
      </c>
      <c r="B3" s="162">
        <v>2</v>
      </c>
      <c r="C3" s="196">
        <f>'DATI INPUT'!D143</f>
        <v>0</v>
      </c>
    </row>
  </sheetData>
  <phoneticPr fontId="3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1</vt:i4>
      </vt:variant>
    </vt:vector>
  </HeadingPairs>
  <TitlesOfParts>
    <vt:vector size="11" baseType="lpstr">
      <vt:lpstr>RiepilogoTariffe</vt:lpstr>
      <vt:lpstr>DATI INPUT</vt:lpstr>
      <vt:lpstr>rip.UD-UND</vt:lpstr>
      <vt:lpstr>sintesi</vt:lpstr>
      <vt:lpstr>UtenzeDomestiche</vt:lpstr>
      <vt:lpstr>UtenzeNonDomestiche</vt:lpstr>
      <vt:lpstr>indivisibili</vt:lpstr>
      <vt:lpstr>KcKd</vt:lpstr>
      <vt:lpstr>UD</vt:lpstr>
      <vt:lpstr>RiduzioniUD</vt:lpstr>
      <vt:lpstr>UtenzeNonDomestiche!Titoli_stampa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benetel</dc:creator>
  <cp:lastModifiedBy>Segreteria Casellelandi</cp:lastModifiedBy>
  <cp:lastPrinted>2014-07-08T09:00:34Z</cp:lastPrinted>
  <dcterms:created xsi:type="dcterms:W3CDTF">2012-07-03T07:32:05Z</dcterms:created>
  <dcterms:modified xsi:type="dcterms:W3CDTF">2025-03-31T09:11:37Z</dcterms:modified>
</cp:coreProperties>
</file>